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10860" windowHeight="8325" activeTab="0"/>
  </bookViews>
  <sheets>
    <sheet name="x" sheetId="1" r:id="rId1"/>
    <sheet name="Calculator" sheetId="2" r:id="rId2"/>
    <sheet name="DryingCharges" sheetId="3" r:id="rId3"/>
  </sheets>
  <definedNames>
    <definedName name="Comments">'Calculator'!$A$304:$B$306</definedName>
    <definedName name="DryingCost">'DryingCharges'!$A$2:$B$27</definedName>
    <definedName name="_xlnm.Print_Area" localSheetId="0">'x'!$A$1:$I$33</definedName>
    <definedName name="_xlnm.Print_Titles" localSheetId="1">'Calculator'!$A:$B,'Calculator'!$1:$1</definedName>
  </definedNames>
  <calcPr fullCalcOnLoad="1"/>
</workbook>
</file>

<file path=xl/sharedStrings.xml><?xml version="1.0" encoding="utf-8"?>
<sst xmlns="http://schemas.openxmlformats.org/spreadsheetml/2006/main" count="195" uniqueCount="131">
  <si>
    <t>Date Planted</t>
  </si>
  <si>
    <t>bu/ac</t>
  </si>
  <si>
    <t>pl/ac</t>
  </si>
  <si>
    <t>Replant Date</t>
  </si>
  <si>
    <t>Hybrid Heat Unit Rating</t>
  </si>
  <si>
    <t>Seeding Rate</t>
  </si>
  <si>
    <t>Expected Corn Price</t>
  </si>
  <si>
    <t>$/bu</t>
  </si>
  <si>
    <t>Replant Insurance Payment</t>
  </si>
  <si>
    <t>$/ac</t>
  </si>
  <si>
    <t>Replant Seed Cost</t>
  </si>
  <si>
    <t>$/80,000 kernels</t>
  </si>
  <si>
    <t>Summary</t>
  </si>
  <si>
    <t>Days after May 10</t>
  </si>
  <si>
    <t>Early</t>
  </si>
  <si>
    <t>Replant</t>
  </si>
  <si>
    <t>After May 10</t>
  </si>
  <si>
    <t>pl/ha</t>
  </si>
  <si>
    <t>%</t>
  </si>
  <si>
    <t>Date Replanted</t>
  </si>
  <si>
    <t>Replanted Corn</t>
  </si>
  <si>
    <t>/ac</t>
  </si>
  <si>
    <t>/ha</t>
  </si>
  <si>
    <t>Location</t>
  </si>
  <si>
    <t>Rate Loss</t>
  </si>
  <si>
    <t>CHU</t>
  </si>
  <si>
    <t>Predicted</t>
  </si>
  <si>
    <t>Elora</t>
  </si>
  <si>
    <t>Exeter</t>
  </si>
  <si>
    <t>Ridgetown</t>
  </si>
  <si>
    <t>oCHU&gt;2750</t>
  </si>
  <si>
    <t>CHU Replant Corrected Yield Loss</t>
  </si>
  <si>
    <t>Recommendation</t>
  </si>
  <si>
    <t>Do not replant</t>
  </si>
  <si>
    <t>Too late to consider replanting</t>
  </si>
  <si>
    <t>Recommendations</t>
  </si>
  <si>
    <t>Assumes corn planted on or before May 10.</t>
  </si>
  <si>
    <t>/bu</t>
  </si>
  <si>
    <t>Replant with any reasonable hybrid</t>
  </si>
  <si>
    <t>x</t>
  </si>
  <si>
    <t>May</t>
  </si>
  <si>
    <t>Estimating Early plant low Pop</t>
  </si>
  <si>
    <t>Estimating Replant Yield</t>
  </si>
  <si>
    <t>CHU over Elora Adjustment</t>
  </si>
  <si>
    <t>Estimated Revenue and replant costs</t>
  </si>
  <si>
    <t>Early Full Pop</t>
  </si>
  <si>
    <t>Early Reduced Pop</t>
  </si>
  <si>
    <t>Breakeven Early Relative Yield loss</t>
  </si>
  <si>
    <t>Breakeven Early Actual Pop</t>
  </si>
  <si>
    <t>as percent</t>
  </si>
  <si>
    <t>Expected corn price (bu/ac)</t>
  </si>
  <si>
    <t>Yield (bu/ac)</t>
  </si>
  <si>
    <t>Gross ($/ac)</t>
  </si>
  <si>
    <t>Loss ($/ac)</t>
  </si>
  <si>
    <t>Replant Yield (bu/ac)</t>
  </si>
  <si>
    <t>Net Replant Revenue ($/ac)</t>
  </si>
  <si>
    <t>CHU Relative Yield Loss (%)</t>
  </si>
  <si>
    <t>Replant Decision</t>
  </si>
  <si>
    <t>Estimated Replant Profit ($/ac)</t>
  </si>
  <si>
    <t>Replant Comments</t>
  </si>
  <si>
    <t>Min Profit</t>
  </si>
  <si>
    <t>Assumes corn planted after May 20</t>
  </si>
  <si>
    <t>Dates/CHU Rating</t>
  </si>
  <si>
    <t>Full Season CHU</t>
  </si>
  <si>
    <t>Replant Lower Limit</t>
  </si>
  <si>
    <t>Expected Harvest Moisture</t>
  </si>
  <si>
    <t>Seeds/ac</t>
  </si>
  <si>
    <t>Herbicide</t>
  </si>
  <si>
    <t>Replant Tillage Cost</t>
  </si>
  <si>
    <t>Sprayer Cost</t>
  </si>
  <si>
    <t>Planter cost</t>
  </si>
  <si>
    <t>Sprayer operating cost</t>
  </si>
  <si>
    <t>Planter costs</t>
  </si>
  <si>
    <t>Drying moisture</t>
  </si>
  <si>
    <t>Drying charge</t>
  </si>
  <si>
    <t>After drying price</t>
  </si>
  <si>
    <t>Default Replant Yield Potential</t>
  </si>
  <si>
    <t>Default Moisture Increase</t>
  </si>
  <si>
    <t>Replant Moisture</t>
  </si>
  <si>
    <t>Harvest Moisture</t>
  </si>
  <si>
    <t>Herbicide Costs Associated with Replanting</t>
  </si>
  <si>
    <t>Sprayer Costs Associated with Replanting</t>
  </si>
  <si>
    <t>Planter Costs Associated with Replanting</t>
  </si>
  <si>
    <t>Default Replant Yield</t>
  </si>
  <si>
    <t>Replant Yield Potential</t>
  </si>
  <si>
    <t>Replant Yield Loss</t>
  </si>
  <si>
    <t>Population of Early Corn</t>
  </si>
  <si>
    <t>Low Pop Yield Potential</t>
  </si>
  <si>
    <t>Replant Seed Costs</t>
  </si>
  <si>
    <t>Replant Tillage Costs</t>
  </si>
  <si>
    <t>Replant Spraying Costs</t>
  </si>
  <si>
    <t>Replant Herbicide Costs</t>
  </si>
  <si>
    <t>Replant Planter Costs</t>
  </si>
  <si>
    <t>Ratio of Replant Net Profit/Full Stand Early</t>
  </si>
  <si>
    <t>Consider replanting, but only with high yield index hybrid</t>
  </si>
  <si>
    <t>Predicted Replant Yield Loss with full season Replant(%)</t>
  </si>
  <si>
    <t>Predicted Loss of yield potential (%/100 chu)</t>
  </si>
  <si>
    <t>CHU Reduction</t>
  </si>
  <si>
    <t>Replant CHU adjusted yield potential</t>
  </si>
  <si>
    <t>Estimated Replant Yield Potential</t>
  </si>
  <si>
    <t>restricted to max of 250</t>
  </si>
  <si>
    <t>Population (pl/ha)</t>
  </si>
  <si>
    <t>Est Corn $ of Early-Planted After Drying</t>
  </si>
  <si>
    <t>Expected Yield if Full Population</t>
  </si>
  <si>
    <t>Est Replanted Corn Price (After Drying)</t>
  </si>
  <si>
    <t>Est % Yield @ Actual Pop</t>
  </si>
  <si>
    <t>Est Yield of Actual Pop</t>
  </si>
  <si>
    <t>Est Yield Potential of Full Pop Replanted Corn</t>
  </si>
  <si>
    <t>Est Yield of Full Pop Replanted Corn</t>
  </si>
  <si>
    <t>t/ha</t>
  </si>
  <si>
    <t>/t</t>
  </si>
  <si>
    <t>Replant Profit Increase over Existing Stand</t>
  </si>
  <si>
    <t>Section 1: ENTER Location Details</t>
  </si>
  <si>
    <t>Section 2: ENTER Early Planted Corn Details</t>
  </si>
  <si>
    <t>Section 3: ENTER Replant Corn Details</t>
  </si>
  <si>
    <t>Section 4: ENTER Replant Economic Details</t>
  </si>
  <si>
    <t>Notes: the lowest plant population for replant considerations is 12000 plants/ac</t>
  </si>
  <si>
    <t>Corn Heat Unit Rating of Early Planted</t>
  </si>
  <si>
    <t>Early Corn Metrics</t>
  </si>
  <si>
    <t>Replanted Corn Metrics</t>
  </si>
  <si>
    <t>Replant Decision Bottomline</t>
  </si>
  <si>
    <t>Moisture</t>
  </si>
  <si>
    <t>Charge</t>
  </si>
  <si>
    <t>User Charge</t>
  </si>
  <si>
    <t>Suggested Charge</t>
  </si>
  <si>
    <t>Enter Suggested Drying Charge or Adjust</t>
  </si>
  <si>
    <t>Predicted Break Even Early Population</t>
  </si>
  <si>
    <t>Actual Plant Population</t>
  </si>
  <si>
    <t>Enter Predicted Moisture or Adjust</t>
  </si>
  <si>
    <t>Enter Predicted Yield or Adjust</t>
  </si>
  <si>
    <t>Ontario Corn Replant Decision Aid -  Version 1.8 (May 2012)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</si>
</sst>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00"/>
    <numFmt numFmtId="179" formatCode="0.00000"/>
    <numFmt numFmtId="180" formatCode="0.000000"/>
    <numFmt numFmtId="181" formatCode="00000"/>
    <numFmt numFmtId="182" formatCode="yyyy\-mmm\-dd"/>
    <numFmt numFmtId="183" formatCode="mmmm\ d\,\ yyyy"/>
    <numFmt numFmtId="184" formatCode="[$-409]h:mm:ss\ AM/PM"/>
    <numFmt numFmtId="185" formatCode="[$-409]dddd\,\ mmmm\ dd\,\ yyyy"/>
    <numFmt numFmtId="186" formatCode="0.0000000"/>
    <numFmt numFmtId="187" formatCode="0.0000000000000"/>
    <numFmt numFmtId="188" formatCode="0.00000000"/>
    <numFmt numFmtId="189" formatCode="&quot;$&quot;#,##0.00"/>
    <numFmt numFmtId="190" formatCode="0.000000000000"/>
    <numFmt numFmtId="191" formatCode="[$-1009]mmmm\ d\,\ yyyy"/>
    <numFmt numFmtId="192" formatCode="&quot;$&quot;#,##0.000"/>
    <numFmt numFmtId="193" formatCode="mmmm\,\ d"/>
    <numFmt numFmtId="194" formatCode="[&lt;=9999999]###\-####;###\-###\-####"/>
    <numFmt numFmtId="195" formatCode="&quot;$&quot;#,##0"/>
  </numFmts>
  <fonts count="35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MS Sans Serif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0"/>
      <color indexed="44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8" borderId="0" xfId="0" applyFont="1" applyFill="1" applyAlignment="1">
      <alignment horizontal="left"/>
    </xf>
    <xf numFmtId="0" fontId="0" fillId="20" borderId="0" xfId="0" applyFill="1" applyAlignment="1" applyProtection="1">
      <alignment horizontal="left"/>
      <protection locked="0"/>
    </xf>
    <xf numFmtId="0" fontId="0" fillId="20" borderId="0" xfId="0" applyFill="1" applyAlignment="1" applyProtection="1">
      <alignment/>
      <protection locked="0"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wrapText="1"/>
      <protection locked="0"/>
    </xf>
    <xf numFmtId="2" fontId="0" fillId="0" borderId="0" xfId="0" applyNumberFormat="1" applyFill="1" applyAlignment="1" applyProtection="1">
      <alignment/>
      <protection locked="0"/>
    </xf>
    <xf numFmtId="1" fontId="0" fillId="8" borderId="0" xfId="0" applyNumberFormat="1" applyFill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8" borderId="0" xfId="0" applyFont="1" applyFill="1" applyAlignment="1">
      <alignment horizontal="center"/>
    </xf>
    <xf numFmtId="2" fontId="3" fillId="8" borderId="0" xfId="0" applyNumberFormat="1" applyFont="1" applyFill="1" applyAlignment="1">
      <alignment horizontal="center"/>
    </xf>
    <xf numFmtId="172" fontId="0" fillId="0" borderId="0" xfId="0" applyNumberFormat="1" applyFill="1" applyAlignment="1" applyProtection="1">
      <alignment/>
      <protection/>
    </xf>
    <xf numFmtId="49" fontId="0" fillId="0" borderId="0" xfId="0" applyNumberFormat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4" borderId="10" xfId="0" applyNumberFormat="1" applyFont="1" applyFill="1" applyBorder="1" applyAlignment="1">
      <alignment horizontal="center"/>
    </xf>
    <xf numFmtId="49" fontId="4" fillId="20" borderId="10" xfId="0" applyNumberFormat="1" applyFont="1" applyFill="1" applyBorder="1" applyAlignment="1">
      <alignment horizontal="center" wrapText="1"/>
    </xf>
    <xf numFmtId="49" fontId="4" fillId="8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 quotePrefix="1">
      <alignment horizontal="center" wrapText="1"/>
    </xf>
    <xf numFmtId="49" fontId="5" fillId="8" borderId="10" xfId="0" applyNumberFormat="1" applyFont="1" applyFill="1" applyBorder="1" applyAlignment="1">
      <alignment horizontal="center"/>
    </xf>
    <xf numFmtId="49" fontId="5" fillId="8" borderId="10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7" fillId="24" borderId="0" xfId="0" applyFont="1" applyFill="1" applyAlignment="1">
      <alignment/>
    </xf>
    <xf numFmtId="49" fontId="3" fillId="7" borderId="11" xfId="0" applyNumberFormat="1" applyFont="1" applyFill="1" applyBorder="1" applyAlignment="1">
      <alignment/>
    </xf>
    <xf numFmtId="22" fontId="0" fillId="0" borderId="0" xfId="0" applyNumberFormat="1" applyFill="1" applyAlignment="1">
      <alignment horizontal="center"/>
    </xf>
    <xf numFmtId="49" fontId="3" fillId="7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4" fillId="4" borderId="0" xfId="0" applyNumberFormat="1" applyFont="1" applyFill="1" applyBorder="1" applyAlignment="1">
      <alignment horizontal="center"/>
    </xf>
    <xf numFmtId="49" fontId="4" fillId="20" borderId="0" xfId="0" applyNumberFormat="1" applyFont="1" applyFill="1" applyBorder="1" applyAlignment="1">
      <alignment horizontal="center" wrapText="1"/>
    </xf>
    <xf numFmtId="49" fontId="4" fillId="8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8" borderId="0" xfId="0" applyNumberFormat="1" applyFont="1" applyFill="1" applyBorder="1" applyAlignment="1">
      <alignment horizontal="center"/>
    </xf>
    <xf numFmtId="49" fontId="5" fillId="8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24" borderId="0" xfId="0" applyFont="1" applyFill="1" applyAlignment="1">
      <alignment/>
    </xf>
    <xf numFmtId="0" fontId="8" fillId="25" borderId="0" xfId="0" applyFont="1" applyFill="1" applyBorder="1" applyAlignment="1">
      <alignment vertical="center"/>
    </xf>
    <xf numFmtId="1" fontId="8" fillId="25" borderId="0" xfId="0" applyNumberFormat="1" applyFont="1" applyFill="1" applyBorder="1" applyAlignment="1">
      <alignment vertical="center"/>
    </xf>
    <xf numFmtId="1" fontId="8" fillId="26" borderId="10" xfId="0" applyNumberFormat="1" applyFont="1" applyFill="1" applyBorder="1" applyAlignment="1" applyProtection="1">
      <alignment vertical="center" wrapText="1"/>
      <protection locked="0"/>
    </xf>
    <xf numFmtId="1" fontId="8" fillId="26" borderId="10" xfId="0" applyNumberFormat="1" applyFont="1" applyFill="1" applyBorder="1" applyAlignment="1" applyProtection="1">
      <alignment horizontal="center" vertical="center"/>
      <protection locked="0"/>
    </xf>
    <xf numFmtId="189" fontId="8" fillId="26" borderId="10" xfId="0" applyNumberFormat="1" applyFont="1" applyFill="1" applyBorder="1" applyAlignment="1" applyProtection="1">
      <alignment vertical="center" wrapText="1"/>
      <protection locked="0"/>
    </xf>
    <xf numFmtId="0" fontId="8" fillId="25" borderId="12" xfId="0" applyFont="1" applyFill="1" applyBorder="1" applyAlignment="1">
      <alignment vertical="center"/>
    </xf>
    <xf numFmtId="49" fontId="11" fillId="25" borderId="13" xfId="0" applyNumberFormat="1" applyFont="1" applyFill="1" applyBorder="1" applyAlignment="1">
      <alignment vertical="center"/>
    </xf>
    <xf numFmtId="0" fontId="8" fillId="25" borderId="14" xfId="0" applyFont="1" applyFill="1" applyBorder="1" applyAlignment="1">
      <alignment vertical="center"/>
    </xf>
    <xf numFmtId="0" fontId="9" fillId="8" borderId="0" xfId="0" applyFont="1" applyFill="1" applyBorder="1" applyAlignment="1">
      <alignment horizontal="center" vertical="center"/>
    </xf>
    <xf numFmtId="189" fontId="9" fillId="8" borderId="0" xfId="0" applyNumberFormat="1" applyFont="1" applyFill="1" applyBorder="1" applyAlignment="1">
      <alignment vertical="center"/>
    </xf>
    <xf numFmtId="0" fontId="9" fillId="8" borderId="0" xfId="0" applyFont="1" applyFill="1" applyBorder="1" applyAlignment="1" quotePrefix="1">
      <alignment horizontal="left" vertical="center"/>
    </xf>
    <xf numFmtId="195" fontId="9" fillId="8" borderId="0" xfId="0" applyNumberFormat="1" applyFont="1" applyFill="1" applyBorder="1" applyAlignment="1">
      <alignment vertical="center"/>
    </xf>
    <xf numFmtId="0" fontId="9" fillId="8" borderId="0" xfId="0" applyFont="1" applyFill="1" applyBorder="1" applyAlignment="1">
      <alignment horizontal="left" vertical="center"/>
    </xf>
    <xf numFmtId="1" fontId="9" fillId="8" borderId="0" xfId="0" applyNumberFormat="1" applyFont="1" applyFill="1" applyBorder="1" applyAlignment="1">
      <alignment vertical="center"/>
    </xf>
    <xf numFmtId="172" fontId="9" fillId="8" borderId="0" xfId="0" applyNumberFormat="1" applyFont="1" applyFill="1" applyBorder="1" applyAlignment="1">
      <alignment vertical="center"/>
    </xf>
    <xf numFmtId="193" fontId="8" fillId="8" borderId="0" xfId="0" applyNumberFormat="1" applyFont="1" applyFill="1" applyBorder="1" applyAlignment="1">
      <alignment horizontal="center" vertical="center"/>
    </xf>
    <xf numFmtId="193" fontId="8" fillId="8" borderId="0" xfId="0" applyNumberFormat="1" applyFont="1" applyFill="1" applyBorder="1" applyAlignment="1">
      <alignment vertical="center"/>
    </xf>
    <xf numFmtId="4" fontId="9" fillId="8" borderId="0" xfId="0" applyNumberFormat="1" applyFont="1" applyFill="1" applyBorder="1" applyAlignment="1">
      <alignment vertical="center"/>
    </xf>
    <xf numFmtId="0" fontId="8" fillId="25" borderId="15" xfId="0" applyFont="1" applyFill="1" applyBorder="1" applyAlignment="1">
      <alignment/>
    </xf>
    <xf numFmtId="0" fontId="9" fillId="8" borderId="12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4" xfId="0" applyFont="1" applyFill="1" applyBorder="1" applyAlignment="1" quotePrefix="1">
      <alignment horizontal="left" vertical="center"/>
    </xf>
    <xf numFmtId="0" fontId="9" fillId="8" borderId="14" xfId="0" applyFont="1" applyFill="1" applyBorder="1" applyAlignment="1">
      <alignment horizontal="left" vertical="center"/>
    </xf>
    <xf numFmtId="0" fontId="9" fillId="8" borderId="16" xfId="0" applyFont="1" applyFill="1" applyBorder="1" applyAlignment="1">
      <alignment vertical="center"/>
    </xf>
    <xf numFmtId="0" fontId="8" fillId="8" borderId="17" xfId="0" applyFont="1" applyFill="1" applyBorder="1" applyAlignment="1">
      <alignment vertical="center"/>
    </xf>
    <xf numFmtId="195" fontId="14" fillId="8" borderId="18" xfId="0" applyNumberFormat="1" applyFont="1" applyFill="1" applyBorder="1" applyAlignment="1">
      <alignment vertical="center"/>
    </xf>
    <xf numFmtId="0" fontId="14" fillId="8" borderId="18" xfId="0" applyFont="1" applyFill="1" applyBorder="1" applyAlignment="1">
      <alignment horizontal="left" vertical="center"/>
    </xf>
    <xf numFmtId="0" fontId="14" fillId="8" borderId="15" xfId="0" applyFont="1" applyFill="1" applyBorder="1" applyAlignment="1" quotePrefix="1">
      <alignment horizontal="left" vertical="center"/>
    </xf>
    <xf numFmtId="0" fontId="15" fillId="8" borderId="19" xfId="0" applyFont="1" applyFill="1" applyBorder="1" applyAlignment="1">
      <alignment vertical="center"/>
    </xf>
    <xf numFmtId="0" fontId="11" fillId="0" borderId="0" xfId="0" applyFont="1" applyAlignment="1">
      <alignment/>
    </xf>
    <xf numFmtId="1" fontId="0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172" fontId="8" fillId="26" borderId="20" xfId="0" applyNumberFormat="1" applyFont="1" applyFill="1" applyBorder="1" applyAlignment="1" applyProtection="1">
      <alignment vertical="center" wrapText="1"/>
      <protection locked="0"/>
    </xf>
    <xf numFmtId="2" fontId="8" fillId="26" borderId="21" xfId="0" applyNumberFormat="1" applyFont="1" applyFill="1" applyBorder="1" applyAlignment="1" applyProtection="1">
      <alignment vertical="center" wrapText="1"/>
      <protection locked="0"/>
    </xf>
    <xf numFmtId="1" fontId="8" fillId="26" borderId="20" xfId="0" applyNumberFormat="1" applyFont="1" applyFill="1" applyBorder="1" applyAlignment="1" applyProtection="1">
      <alignment vertical="center" wrapText="1"/>
      <protection locked="0"/>
    </xf>
    <xf numFmtId="1" fontId="8" fillId="26" borderId="22" xfId="0" applyNumberFormat="1" applyFont="1" applyFill="1" applyBorder="1" applyAlignment="1" applyProtection="1">
      <alignment vertical="center" wrapText="1"/>
      <protection locked="0"/>
    </xf>
    <xf numFmtId="172" fontId="8" fillId="26" borderId="22" xfId="0" applyNumberFormat="1" applyFont="1" applyFill="1" applyBorder="1" applyAlignment="1" applyProtection="1">
      <alignment vertical="center" wrapText="1"/>
      <protection locked="0"/>
    </xf>
    <xf numFmtId="0" fontId="8" fillId="26" borderId="10" xfId="0" applyFont="1" applyFill="1" applyBorder="1" applyAlignment="1" applyProtection="1">
      <alignment horizontal="center"/>
      <protection locked="0"/>
    </xf>
    <xf numFmtId="0" fontId="8" fillId="26" borderId="10" xfId="0" applyFont="1" applyFill="1" applyBorder="1" applyAlignment="1" applyProtection="1">
      <alignment horizontal="center" vertical="center"/>
      <protection locked="0"/>
    </xf>
    <xf numFmtId="0" fontId="15" fillId="27" borderId="19" xfId="0" applyFont="1" applyFill="1" applyBorder="1" applyAlignment="1">
      <alignment vertical="center"/>
    </xf>
    <xf numFmtId="0" fontId="8" fillId="27" borderId="17" xfId="0" applyFont="1" applyFill="1" applyBorder="1" applyAlignment="1">
      <alignment vertical="center"/>
    </xf>
    <xf numFmtId="0" fontId="9" fillId="27" borderId="12" xfId="0" applyFont="1" applyFill="1" applyBorder="1" applyAlignment="1">
      <alignment horizontal="center" vertical="center"/>
    </xf>
    <xf numFmtId="195" fontId="34" fillId="27" borderId="0" xfId="0" applyNumberFormat="1" applyFont="1" applyFill="1" applyBorder="1" applyAlignment="1">
      <alignment vertical="center"/>
    </xf>
    <xf numFmtId="0" fontId="34" fillId="27" borderId="0" xfId="0" applyFont="1" applyFill="1" applyBorder="1" applyAlignment="1">
      <alignment horizontal="left" vertical="center"/>
    </xf>
    <xf numFmtId="1" fontId="34" fillId="27" borderId="0" xfId="0" applyNumberFormat="1" applyFont="1" applyFill="1" applyBorder="1" applyAlignment="1">
      <alignment vertical="center"/>
    </xf>
    <xf numFmtId="0" fontId="34" fillId="27" borderId="13" xfId="0" applyFont="1" applyFill="1" applyBorder="1" applyAlignment="1">
      <alignment vertical="center"/>
    </xf>
    <xf numFmtId="0" fontId="34" fillId="27" borderId="14" xfId="0" applyFont="1" applyFill="1" applyBorder="1" applyAlignment="1" quotePrefix="1">
      <alignment horizontal="left" vertical="center"/>
    </xf>
    <xf numFmtId="0" fontId="34" fillId="27" borderId="14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11" fillId="25" borderId="13" xfId="0" applyNumberFormat="1" applyFont="1" applyFill="1" applyBorder="1" applyAlignment="1">
      <alignment horizontal="left" vertical="center" wrapText="1"/>
    </xf>
    <xf numFmtId="49" fontId="11" fillId="25" borderId="0" xfId="0" applyNumberFormat="1" applyFont="1" applyFill="1" applyBorder="1" applyAlignment="1">
      <alignment horizontal="left" vertical="center" wrapText="1"/>
    </xf>
    <xf numFmtId="49" fontId="10" fillId="25" borderId="13" xfId="0" applyNumberFormat="1" applyFont="1" applyFill="1" applyBorder="1" applyAlignment="1">
      <alignment horizontal="left" vertical="center"/>
    </xf>
    <xf numFmtId="49" fontId="10" fillId="25" borderId="0" xfId="0" applyNumberFormat="1" applyFont="1" applyFill="1" applyBorder="1" applyAlignment="1">
      <alignment horizontal="left" vertical="center"/>
    </xf>
    <xf numFmtId="0" fontId="13" fillId="8" borderId="19" xfId="0" applyFont="1" applyFill="1" applyBorder="1" applyAlignment="1">
      <alignment vertical="center"/>
    </xf>
    <xf numFmtId="0" fontId="13" fillId="8" borderId="17" xfId="0" applyFont="1" applyFill="1" applyBorder="1" applyAlignment="1">
      <alignment vertical="center"/>
    </xf>
    <xf numFmtId="0" fontId="11" fillId="4" borderId="23" xfId="0" applyNumberFormat="1" applyFont="1" applyFill="1" applyBorder="1" applyAlignment="1">
      <alignment horizontal="left" vertical="center" wrapText="1"/>
    </xf>
    <xf numFmtId="0" fontId="11" fillId="4" borderId="24" xfId="0" applyNumberFormat="1" applyFont="1" applyFill="1" applyBorder="1" applyAlignment="1">
      <alignment horizontal="left" vertical="center" wrapText="1"/>
    </xf>
    <xf numFmtId="0" fontId="11" fillId="4" borderId="25" xfId="0" applyNumberFormat="1" applyFont="1" applyFill="1" applyBorder="1" applyAlignment="1">
      <alignment horizontal="left" vertical="center" wrapText="1"/>
    </xf>
    <xf numFmtId="0" fontId="12" fillId="26" borderId="23" xfId="0" applyFont="1" applyFill="1" applyBorder="1" applyAlignment="1" applyProtection="1">
      <alignment horizontal="center" vertical="center"/>
      <protection/>
    </xf>
    <xf numFmtId="0" fontId="12" fillId="26" borderId="24" xfId="0" applyFont="1" applyFill="1" applyBorder="1" applyAlignment="1" applyProtection="1">
      <alignment horizontal="center" vertical="center"/>
      <protection/>
    </xf>
    <xf numFmtId="0" fontId="12" fillId="26" borderId="25" xfId="0" applyFont="1" applyFill="1" applyBorder="1" applyAlignment="1" applyProtection="1">
      <alignment horizontal="center" vertical="center"/>
      <protection/>
    </xf>
    <xf numFmtId="0" fontId="32" fillId="27" borderId="19" xfId="0" applyFont="1" applyFill="1" applyBorder="1" applyAlignment="1">
      <alignment horizontal="center" vertical="center"/>
    </xf>
    <xf numFmtId="0" fontId="32" fillId="27" borderId="16" xfId="0" applyFont="1" applyFill="1" applyBorder="1" applyAlignment="1">
      <alignment horizontal="center" vertical="center"/>
    </xf>
    <xf numFmtId="1" fontId="33" fillId="27" borderId="17" xfId="0" applyNumberFormat="1" applyFont="1" applyFill="1" applyBorder="1" applyAlignment="1">
      <alignment horizontal="left" vertical="center" wrapText="1"/>
    </xf>
    <xf numFmtId="1" fontId="33" fillId="27" borderId="12" xfId="0" applyNumberFormat="1" applyFont="1" applyFill="1" applyBorder="1" applyAlignment="1">
      <alignment horizontal="left" vertical="center" wrapText="1"/>
    </xf>
    <xf numFmtId="1" fontId="33" fillId="27" borderId="18" xfId="0" applyNumberFormat="1" applyFont="1" applyFill="1" applyBorder="1" applyAlignment="1">
      <alignment horizontal="left" vertical="center" wrapText="1"/>
    </xf>
    <xf numFmtId="1" fontId="33" fillId="27" borderId="15" xfId="0" applyNumberFormat="1" applyFont="1" applyFill="1" applyBorder="1" applyAlignment="1">
      <alignment horizontal="left" vertical="center" wrapText="1"/>
    </xf>
    <xf numFmtId="193" fontId="9" fillId="8" borderId="0" xfId="0" applyNumberFormat="1" applyFont="1" applyFill="1" applyBorder="1" applyAlignment="1">
      <alignment horizontal="center" vertical="center"/>
    </xf>
    <xf numFmtId="49" fontId="10" fillId="25" borderId="19" xfId="0" applyNumberFormat="1" applyFont="1" applyFill="1" applyBorder="1" applyAlignment="1">
      <alignment horizontal="left" vertical="center"/>
    </xf>
    <xf numFmtId="49" fontId="10" fillId="25" borderId="17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38100</xdr:rowOff>
    </xdr:from>
    <xdr:to>
      <xdr:col>9</xdr:col>
      <xdr:colOff>38100</xdr:colOff>
      <xdr:row>35</xdr:row>
      <xdr:rowOff>47625</xdr:rowOff>
    </xdr:to>
    <xdr:grpSp>
      <xdr:nvGrpSpPr>
        <xdr:cNvPr id="1" name="Group 6"/>
        <xdr:cNvGrpSpPr>
          <a:grpSpLocks/>
        </xdr:cNvGrpSpPr>
      </xdr:nvGrpSpPr>
      <xdr:grpSpPr>
        <a:xfrm>
          <a:off x="180975" y="4867275"/>
          <a:ext cx="8782050" cy="1905000"/>
          <a:chOff x="121814" y="4857750"/>
          <a:chExt cx="8805247" cy="1905000"/>
        </a:xfrm>
        <a:solidFill>
          <a:srgbClr val="FFFFFF"/>
        </a:solidFill>
      </xdr:grpSpPr>
      <xdr:pic>
        <xdr:nvPicPr>
          <xdr:cNvPr id="2" name="Picture 1" descr="http://www.agri-media.ca/wp-content/uploads/2011/04/grain-farmers-of-Ontario-2009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33174" y="5486400"/>
            <a:ext cx="724232" cy="7239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http://www.4-hontario.ca/file.aspx?id=7f60c1ea-d8af-4386-af78-cf89923f3583&amp;w=240&amp;h=23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77537" y="4857750"/>
            <a:ext cx="1904135" cy="1905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http://www.ontariofresh.ca/sites/default/files/category_pictures/AAC_Logo-RGB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21814" y="5448300"/>
            <a:ext cx="1232735" cy="7239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799601" y="5475446"/>
            <a:ext cx="1580542" cy="6872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" descr="http://www.uoguelph.ca/plant/logos/jpg/PlantAg2008_colour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08139" y="5610225"/>
            <a:ext cx="2218922" cy="4633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3"/>
  <sheetViews>
    <sheetView tabSelected="1" zoomScalePageLayoutView="0" workbookViewId="0" topLeftCell="A13">
      <selection activeCell="A13" sqref="A13:C13"/>
    </sheetView>
  </sheetViews>
  <sheetFormatPr defaultColWidth="9.33203125" defaultRowHeight="12.75"/>
  <cols>
    <col min="1" max="1" width="41" style="53" customWidth="1"/>
    <col min="2" max="2" width="11.5" style="53" bestFit="1" customWidth="1"/>
    <col min="3" max="3" width="17.66015625" style="53" customWidth="1"/>
    <col min="4" max="4" width="4.33203125" style="53" customWidth="1"/>
    <col min="5" max="5" width="44.5" style="53" bestFit="1" customWidth="1"/>
    <col min="6" max="6" width="10.33203125" style="53" customWidth="1"/>
    <col min="7" max="7" width="5.66015625" style="53" customWidth="1"/>
    <col min="8" max="8" width="10" style="53" customWidth="1"/>
    <col min="9" max="9" width="11.16015625" style="53" customWidth="1"/>
    <col min="10" max="16384" width="9.33203125" style="53" customWidth="1"/>
  </cols>
  <sheetData>
    <row r="1" spans="1:9" ht="18.75">
      <c r="A1" s="116" t="s">
        <v>130</v>
      </c>
      <c r="B1" s="117"/>
      <c r="C1" s="117"/>
      <c r="D1" s="117"/>
      <c r="E1" s="117"/>
      <c r="F1" s="117"/>
      <c r="G1" s="117"/>
      <c r="H1" s="117"/>
      <c r="I1" s="118"/>
    </row>
    <row r="2" spans="1:9" ht="18.75">
      <c r="A2" s="126" t="s">
        <v>112</v>
      </c>
      <c r="B2" s="127"/>
      <c r="C2" s="127"/>
      <c r="D2" s="60"/>
      <c r="E2" s="111" t="s">
        <v>12</v>
      </c>
      <c r="F2" s="112"/>
      <c r="G2" s="112"/>
      <c r="H2" s="112"/>
      <c r="I2" s="74"/>
    </row>
    <row r="3" spans="1:9" ht="13.5" customHeight="1">
      <c r="A3" s="61" t="s">
        <v>117</v>
      </c>
      <c r="B3" s="57">
        <v>3000</v>
      </c>
      <c r="C3" s="55"/>
      <c r="D3" s="62"/>
      <c r="E3" s="84" t="s">
        <v>118</v>
      </c>
      <c r="F3" s="80"/>
      <c r="G3" s="80"/>
      <c r="H3" s="80"/>
      <c r="I3" s="74"/>
    </row>
    <row r="4" spans="1:9" ht="12.75" customHeight="1">
      <c r="A4" s="109" t="s">
        <v>113</v>
      </c>
      <c r="B4" s="110"/>
      <c r="C4" s="110"/>
      <c r="D4" s="62"/>
      <c r="E4" s="75" t="s">
        <v>0</v>
      </c>
      <c r="F4" s="125">
        <f>Calculator!B4</f>
        <v>41030</v>
      </c>
      <c r="G4" s="125"/>
      <c r="H4" s="71"/>
      <c r="I4" s="76"/>
    </row>
    <row r="5" spans="1:253" ht="12.75">
      <c r="A5" s="107" t="s">
        <v>36</v>
      </c>
      <c r="B5" s="108"/>
      <c r="C5" s="108"/>
      <c r="D5" s="62"/>
      <c r="E5" s="75" t="s">
        <v>102</v>
      </c>
      <c r="F5" s="64">
        <f>Calculator!B270</f>
        <v>4.46</v>
      </c>
      <c r="G5" s="65" t="s">
        <v>37</v>
      </c>
      <c r="H5" s="64">
        <f>F5*2204.5/56</f>
        <v>175.57267857142855</v>
      </c>
      <c r="I5" s="77" t="s">
        <v>110</v>
      </c>
      <c r="IS5" s="54" t="e">
        <f>CONCATENATE("OrgList!a",VLOOKUP($B4,NManManure,5,FALSE),":a",VLOOKUP($B4,NManManure,6,FALSE))</f>
        <v>#NAME?</v>
      </c>
    </row>
    <row r="6" spans="1:9" ht="12.75">
      <c r="A6" s="61" t="s">
        <v>0</v>
      </c>
      <c r="B6" s="93" t="s">
        <v>40</v>
      </c>
      <c r="C6" s="58">
        <v>1</v>
      </c>
      <c r="D6" s="62"/>
      <c r="E6" s="75" t="str">
        <f>CONCATENATE("Est Value of Early Corn, Full Pop @ $",ROUND(F$5,2),"/bu")</f>
        <v>Est Value of Early Corn, Full Pop @ $4.46/bu</v>
      </c>
      <c r="F6" s="66">
        <f>Calculator!B271</f>
        <v>802.8</v>
      </c>
      <c r="G6" s="67" t="s">
        <v>21</v>
      </c>
      <c r="H6" s="66">
        <f>2.47*F6</f>
        <v>1982.916</v>
      </c>
      <c r="I6" s="77" t="s">
        <v>22</v>
      </c>
    </row>
    <row r="7" spans="1:252" ht="12.75">
      <c r="A7" s="61" t="s">
        <v>6</v>
      </c>
      <c r="B7" s="59">
        <v>5</v>
      </c>
      <c r="C7" s="55" t="s">
        <v>7</v>
      </c>
      <c r="D7" s="62"/>
      <c r="E7" s="75" t="s">
        <v>86</v>
      </c>
      <c r="F7" s="68">
        <f>ROUND(B12,-2)</f>
        <v>16000</v>
      </c>
      <c r="G7" s="67" t="s">
        <v>2</v>
      </c>
      <c r="H7" s="68">
        <f>ROUND(F7*2.47,-2)</f>
        <v>39500</v>
      </c>
      <c r="I7" s="78" t="s">
        <v>17</v>
      </c>
      <c r="IR7" s="54" t="e">
        <f>CONCATENATE("OrgList!k",VLOOKUP($B4,NManManure,5,FALSE),":k",VLOOKUP($B4,NManManure,6,FALSE))</f>
        <v>#NAME?</v>
      </c>
    </row>
    <row r="8" spans="1:9" ht="12.75">
      <c r="A8" s="61" t="s">
        <v>103</v>
      </c>
      <c r="B8" s="57">
        <v>180</v>
      </c>
      <c r="C8" s="55" t="s">
        <v>1</v>
      </c>
      <c r="D8" s="62"/>
      <c r="E8" s="75" t="s">
        <v>105</v>
      </c>
      <c r="F8" s="68">
        <f>Calculator!D273</f>
        <v>87.79191260982334</v>
      </c>
      <c r="G8" s="67" t="s">
        <v>18</v>
      </c>
      <c r="H8" s="68"/>
      <c r="I8" s="76"/>
    </row>
    <row r="9" spans="1:9" ht="12.75">
      <c r="A9" s="61" t="s">
        <v>65</v>
      </c>
      <c r="B9" s="88">
        <v>23</v>
      </c>
      <c r="C9" s="55" t="s">
        <v>18</v>
      </c>
      <c r="D9" s="62"/>
      <c r="E9" s="75" t="s">
        <v>106</v>
      </c>
      <c r="F9" s="68">
        <f>Calculator!B273</f>
        <v>158.02544269768202</v>
      </c>
      <c r="G9" s="67" t="s">
        <v>1</v>
      </c>
      <c r="H9" s="69">
        <f>F9*56*0.00112</f>
        <v>9.911355765998614</v>
      </c>
      <c r="I9" s="78" t="s">
        <v>109</v>
      </c>
    </row>
    <row r="10" spans="1:9" ht="12.75">
      <c r="A10" s="113" t="str">
        <f>CONCATENATE("     SUGGESTED DRYING COSTS at ",ROUND(B9,1),"%  =   $",ROUND(Calculator!F269,2),"/bu")</f>
        <v>     SUGGESTED DRYING COSTS at 23%  =   $0.54/bu</v>
      </c>
      <c r="B10" s="114"/>
      <c r="C10" s="115"/>
      <c r="D10" s="62"/>
      <c r="E10" s="75" t="str">
        <f>CONCATENATE("Est Value of Actual Pop Early Corn @ $",ROUND(F$5,2),"/bu")</f>
        <v>Est Value of Actual Pop Early Corn @ $4.46/bu</v>
      </c>
      <c r="F10" s="66">
        <f>Calculator!B274</f>
        <v>704.7934744316618</v>
      </c>
      <c r="G10" s="67" t="s">
        <v>21</v>
      </c>
      <c r="H10" s="66">
        <f>2.47*F10</f>
        <v>1740.839881846205</v>
      </c>
      <c r="I10" s="77" t="s">
        <v>22</v>
      </c>
    </row>
    <row r="11" spans="1:9" ht="12.75">
      <c r="A11" s="61" t="s">
        <v>125</v>
      </c>
      <c r="B11" s="89">
        <v>0.54</v>
      </c>
      <c r="C11" s="55" t="s">
        <v>7</v>
      </c>
      <c r="D11" s="62"/>
      <c r="E11" s="75" t="str">
        <f>CONCATENATE("Est Profit Loss of Actual Pop @ $",ROUND(F$5,2),"/bu")</f>
        <v>Est Profit Loss of Actual Pop @ $4.46/bu</v>
      </c>
      <c r="F11" s="66">
        <f>Calculator!B275</f>
        <v>98.00652556833813</v>
      </c>
      <c r="G11" s="67" t="s">
        <v>21</v>
      </c>
      <c r="H11" s="66">
        <f>2.47*F11</f>
        <v>242.07611815379522</v>
      </c>
      <c r="I11" s="77" t="s">
        <v>22</v>
      </c>
    </row>
    <row r="12" spans="1:9" ht="15">
      <c r="A12" s="61" t="s">
        <v>127</v>
      </c>
      <c r="B12" s="57">
        <v>16000</v>
      </c>
      <c r="C12" s="55" t="s">
        <v>2</v>
      </c>
      <c r="D12" s="55"/>
      <c r="E12" s="84" t="s">
        <v>119</v>
      </c>
      <c r="F12" s="80"/>
      <c r="G12" s="80"/>
      <c r="H12" s="80"/>
      <c r="I12" s="74"/>
    </row>
    <row r="13" spans="1:9" ht="17.25">
      <c r="A13" s="109" t="s">
        <v>114</v>
      </c>
      <c r="B13" s="110"/>
      <c r="C13" s="110"/>
      <c r="D13" s="55"/>
      <c r="E13" s="75" t="s">
        <v>19</v>
      </c>
      <c r="F13" s="125">
        <f>Calculator!B5</f>
        <v>41053</v>
      </c>
      <c r="G13" s="125"/>
      <c r="H13" s="70"/>
      <c r="I13" s="76"/>
    </row>
    <row r="14" spans="1:9" ht="12.75">
      <c r="A14" s="107" t="s">
        <v>61</v>
      </c>
      <c r="B14" s="108"/>
      <c r="C14" s="108"/>
      <c r="D14" s="55"/>
      <c r="E14" s="75" t="s">
        <v>13</v>
      </c>
      <c r="F14" s="68">
        <f>Calculator!B6</f>
        <v>14</v>
      </c>
      <c r="G14" s="63"/>
      <c r="H14" s="68"/>
      <c r="I14" s="76"/>
    </row>
    <row r="15" spans="1:253" ht="12.75">
      <c r="A15" s="61" t="s">
        <v>3</v>
      </c>
      <c r="B15" s="94" t="s">
        <v>40</v>
      </c>
      <c r="C15" s="58">
        <v>24</v>
      </c>
      <c r="D15" s="55"/>
      <c r="E15" s="75" t="s">
        <v>104</v>
      </c>
      <c r="F15" s="64">
        <f>Calculator!B286</f>
        <v>4.3</v>
      </c>
      <c r="G15" s="65" t="s">
        <v>37</v>
      </c>
      <c r="H15" s="64">
        <f>F15*2204.5/56</f>
        <v>169.27410714285716</v>
      </c>
      <c r="I15" s="77" t="s">
        <v>110</v>
      </c>
      <c r="IS15" s="54" t="e">
        <f>CONCATENATE("OrgList!a",VLOOKUP($B16,NManManure,5,FALSE),":a",VLOOKUP($B16,NManManure,6,FALSE))</f>
        <v>#NAME?</v>
      </c>
    </row>
    <row r="16" spans="1:9" ht="12.75">
      <c r="A16" s="61" t="s">
        <v>4</v>
      </c>
      <c r="B16" s="57">
        <v>3000</v>
      </c>
      <c r="C16" s="56">
        <f>IF(B3-B16&gt;250,"Reenter, Too Low","")</f>
      </c>
      <c r="D16" s="55"/>
      <c r="E16" s="75" t="s">
        <v>107</v>
      </c>
      <c r="F16" s="68">
        <f>Calculator!D278</f>
        <v>94.81582188695384</v>
      </c>
      <c r="G16" s="67" t="s">
        <v>18</v>
      </c>
      <c r="H16" s="68"/>
      <c r="I16" s="76"/>
    </row>
    <row r="17" spans="1:9" ht="12.75">
      <c r="A17" s="61" t="s">
        <v>5</v>
      </c>
      <c r="B17" s="90">
        <v>30500</v>
      </c>
      <c r="C17" s="55" t="s">
        <v>66</v>
      </c>
      <c r="D17" s="55"/>
      <c r="E17" s="75" t="s">
        <v>108</v>
      </c>
      <c r="F17" s="68">
        <f>Calculator!B278</f>
        <v>170.66847939651691</v>
      </c>
      <c r="G17" s="67" t="s">
        <v>1</v>
      </c>
      <c r="H17" s="69">
        <f>F17*56*0.00112</f>
        <v>10.70432702774954</v>
      </c>
      <c r="I17" s="78" t="s">
        <v>109</v>
      </c>
    </row>
    <row r="18" spans="1:9" ht="12.75">
      <c r="A18" s="113" t="str">
        <f>CONCATENATE("      PREDICTED REPLANT YIELD  =  ",ROUND(Calculator!B277,0),"  bu/ac (",ROUND(Calculator!D277,0),"%)")</f>
        <v>      PREDICTED REPLANT YIELD  =  171  bu/ac (95%)</v>
      </c>
      <c r="B18" s="114"/>
      <c r="C18" s="115"/>
      <c r="D18" s="55"/>
      <c r="E18" s="75" t="str">
        <f>CONCATENATE("Est Value of Full Pop Replanted Corn @ $",ROUND(F$15,2),"/bu")</f>
        <v>Est Value of Full Pop Replanted Corn @ $4.3/bu</v>
      </c>
      <c r="F18" s="66">
        <f>Calculator!B287</f>
        <v>733.8744614050227</v>
      </c>
      <c r="G18" s="67" t="s">
        <v>21</v>
      </c>
      <c r="H18" s="66">
        <f aca="true" t="shared" si="0" ref="H18:H26">2.47*F18</f>
        <v>1812.6699196704062</v>
      </c>
      <c r="I18" s="77" t="s">
        <v>22</v>
      </c>
    </row>
    <row r="19" spans="1:9" ht="12.75" customHeight="1">
      <c r="A19" s="61" t="s">
        <v>129</v>
      </c>
      <c r="B19" s="91"/>
      <c r="C19" s="55" t="s">
        <v>1</v>
      </c>
      <c r="D19" s="55"/>
      <c r="E19" s="75" t="s">
        <v>8</v>
      </c>
      <c r="F19" s="64">
        <f>Calculator!B288</f>
        <v>0</v>
      </c>
      <c r="G19" s="67" t="s">
        <v>21</v>
      </c>
      <c r="H19" s="64">
        <f t="shared" si="0"/>
        <v>0</v>
      </c>
      <c r="I19" s="77" t="s">
        <v>22</v>
      </c>
    </row>
    <row r="20" spans="1:9" ht="12.75" customHeight="1">
      <c r="A20" s="113" t="str">
        <f>CONCATENATE("     PREDICTED REPLANT HARVEST MOISTURE =   ",ROUND(Calculator!B267+Calculator!D283,0),"% (+",ROUND(Calculator!D283,0),"%)")</f>
        <v>     PREDICTED REPLANT HARVEST MOISTURE =   30% (+7%)</v>
      </c>
      <c r="B20" s="114"/>
      <c r="C20" s="115"/>
      <c r="D20" s="55"/>
      <c r="E20" s="75" t="s">
        <v>91</v>
      </c>
      <c r="F20" s="72">
        <f>-Calculator!B289</f>
        <v>-10</v>
      </c>
      <c r="G20" s="67" t="s">
        <v>21</v>
      </c>
      <c r="H20" s="64">
        <f t="shared" si="0"/>
        <v>-24.700000000000003</v>
      </c>
      <c r="I20" s="77" t="s">
        <v>22</v>
      </c>
    </row>
    <row r="21" spans="1:9" ht="12.75" customHeight="1">
      <c r="A21" s="61" t="s">
        <v>128</v>
      </c>
      <c r="B21" s="92">
        <v>28</v>
      </c>
      <c r="C21" s="55" t="s">
        <v>18</v>
      </c>
      <c r="D21" s="55"/>
      <c r="E21" s="75" t="s">
        <v>90</v>
      </c>
      <c r="F21" s="72">
        <f>-Calculator!B290</f>
        <v>-10</v>
      </c>
      <c r="G21" s="67" t="s">
        <v>21</v>
      </c>
      <c r="H21" s="64">
        <f t="shared" si="0"/>
        <v>-24.700000000000003</v>
      </c>
      <c r="I21" s="77" t="s">
        <v>22</v>
      </c>
    </row>
    <row r="22" spans="1:9" ht="12.75" customHeight="1">
      <c r="A22" s="113" t="str">
        <f>CONCATENATE("     SUGGESTED DRYING COSTS at ",ROUND(Calculator!B283,1),"%  =   $",ROUND(Calculator!F285,2),"/bu")</f>
        <v>     SUGGESTED DRYING COSTS at 28%  =   $0.7/bu</v>
      </c>
      <c r="B22" s="114"/>
      <c r="C22" s="115"/>
      <c r="D22" s="55"/>
      <c r="E22" s="75" t="s">
        <v>89</v>
      </c>
      <c r="F22" s="72">
        <f>-Calculator!B291</f>
        <v>0</v>
      </c>
      <c r="G22" s="67" t="s">
        <v>21</v>
      </c>
      <c r="H22" s="64">
        <f t="shared" si="0"/>
        <v>0</v>
      </c>
      <c r="I22" s="77" t="s">
        <v>22</v>
      </c>
    </row>
    <row r="23" spans="1:9" ht="12.75" customHeight="1">
      <c r="A23" s="61" t="s">
        <v>125</v>
      </c>
      <c r="B23" s="89">
        <v>0.7</v>
      </c>
      <c r="C23" s="55" t="s">
        <v>7</v>
      </c>
      <c r="D23" s="55"/>
      <c r="E23" s="75" t="s">
        <v>88</v>
      </c>
      <c r="F23" s="72">
        <f>-Calculator!B292</f>
        <v>-47.65625</v>
      </c>
      <c r="G23" s="67" t="s">
        <v>21</v>
      </c>
      <c r="H23" s="64">
        <f t="shared" si="0"/>
        <v>-117.71093750000001</v>
      </c>
      <c r="I23" s="77" t="s">
        <v>22</v>
      </c>
    </row>
    <row r="24" spans="1:9" ht="16.5" customHeight="1">
      <c r="A24" s="109" t="s">
        <v>115</v>
      </c>
      <c r="B24" s="110"/>
      <c r="C24" s="110"/>
      <c r="D24" s="55"/>
      <c r="E24" s="75" t="s">
        <v>92</v>
      </c>
      <c r="F24" s="72">
        <f>-Calculator!B293</f>
        <v>-15</v>
      </c>
      <c r="G24" s="67" t="s">
        <v>21</v>
      </c>
      <c r="H24" s="64">
        <f t="shared" si="0"/>
        <v>-37.050000000000004</v>
      </c>
      <c r="I24" s="77" t="s">
        <v>22</v>
      </c>
    </row>
    <row r="25" spans="1:12" ht="12.75" customHeight="1">
      <c r="A25" s="61" t="s">
        <v>8</v>
      </c>
      <c r="B25" s="59">
        <v>0</v>
      </c>
      <c r="C25" s="55" t="s">
        <v>9</v>
      </c>
      <c r="D25" s="55"/>
      <c r="E25" s="75" t="str">
        <f>CONCATENATE("Est Net Value of Replanted Corn @ $",ROUND(F$15,2),"/bu")</f>
        <v>Est Net Value of Replanted Corn @ $4.3/bu</v>
      </c>
      <c r="F25" s="66">
        <f>Calculator!B294</f>
        <v>651.2182114050227</v>
      </c>
      <c r="G25" s="67" t="s">
        <v>21</v>
      </c>
      <c r="H25" s="66">
        <f t="shared" si="0"/>
        <v>1608.5089821704062</v>
      </c>
      <c r="I25" s="77" t="s">
        <v>22</v>
      </c>
      <c r="L25"/>
    </row>
    <row r="26" spans="1:12" ht="12.75" customHeight="1">
      <c r="A26" s="61" t="s">
        <v>80</v>
      </c>
      <c r="B26" s="59">
        <v>10</v>
      </c>
      <c r="C26" s="55" t="s">
        <v>9</v>
      </c>
      <c r="D26" s="55"/>
      <c r="E26" s="79"/>
      <c r="F26" s="81">
        <f>Calculator!B295</f>
        <v>151.5817885949773</v>
      </c>
      <c r="G26" s="82" t="s">
        <v>21</v>
      </c>
      <c r="H26" s="81">
        <f t="shared" si="0"/>
        <v>374.40701782959394</v>
      </c>
      <c r="I26" s="83" t="s">
        <v>22</v>
      </c>
      <c r="L26"/>
    </row>
    <row r="27" spans="1:9" ht="12.75" customHeight="1">
      <c r="A27" s="61" t="s">
        <v>81</v>
      </c>
      <c r="B27" s="59">
        <v>10</v>
      </c>
      <c r="C27" s="55" t="s">
        <v>9</v>
      </c>
      <c r="D27" s="55"/>
      <c r="E27" s="95" t="s">
        <v>120</v>
      </c>
      <c r="F27" s="96"/>
      <c r="G27" s="96"/>
      <c r="H27" s="96"/>
      <c r="I27" s="97"/>
    </row>
    <row r="28" spans="1:9" ht="12.75" customHeight="1">
      <c r="A28" s="61" t="s">
        <v>68</v>
      </c>
      <c r="B28" s="59">
        <v>0</v>
      </c>
      <c r="C28" s="55" t="s">
        <v>9</v>
      </c>
      <c r="D28" s="55"/>
      <c r="E28" s="101" t="s">
        <v>111</v>
      </c>
      <c r="F28" s="98">
        <f>Calculator!B300</f>
        <v>-53.57526302663916</v>
      </c>
      <c r="G28" s="99" t="s">
        <v>21</v>
      </c>
      <c r="H28" s="98">
        <f>2.47*F28</f>
        <v>-132.33089967579875</v>
      </c>
      <c r="I28" s="102" t="s">
        <v>22</v>
      </c>
    </row>
    <row r="29" spans="1:9" ht="12.75" customHeight="1">
      <c r="A29" s="61" t="s">
        <v>10</v>
      </c>
      <c r="B29" s="59">
        <v>125</v>
      </c>
      <c r="C29" s="55" t="s">
        <v>11</v>
      </c>
      <c r="D29" s="55"/>
      <c r="E29" s="101" t="s">
        <v>126</v>
      </c>
      <c r="F29" s="100">
        <f>IF(H29="Less 29500","Less 12000",ROUND(H29/2.47,0))</f>
        <v>12753</v>
      </c>
      <c r="G29" s="99" t="s">
        <v>2</v>
      </c>
      <c r="H29" s="100">
        <f>Calculator!B297</f>
        <v>31500</v>
      </c>
      <c r="I29" s="103" t="s">
        <v>17</v>
      </c>
    </row>
    <row r="30" spans="1:9" ht="12.75" customHeight="1">
      <c r="A30" s="61" t="s">
        <v>82</v>
      </c>
      <c r="B30" s="59">
        <v>15</v>
      </c>
      <c r="C30" s="55" t="s">
        <v>9</v>
      </c>
      <c r="D30" s="62"/>
      <c r="E30" s="119" t="s">
        <v>32</v>
      </c>
      <c r="F30" s="121" t="str">
        <f>Calculator!B301</f>
        <v>Do not replant</v>
      </c>
      <c r="G30" s="121"/>
      <c r="H30" s="121"/>
      <c r="I30" s="122"/>
    </row>
    <row r="31" spans="1:9" ht="21" customHeight="1">
      <c r="A31" s="61"/>
      <c r="B31" s="61"/>
      <c r="C31" s="61"/>
      <c r="D31" s="73"/>
      <c r="E31" s="120"/>
      <c r="F31" s="123"/>
      <c r="G31" s="123"/>
      <c r="H31" s="123"/>
      <c r="I31" s="124"/>
    </row>
    <row r="32" spans="1:10" ht="64.5" customHeight="1">
      <c r="A32" s="104"/>
      <c r="B32" s="105"/>
      <c r="C32" s="105"/>
      <c r="D32" s="105"/>
      <c r="E32" s="105"/>
      <c r="F32" s="105"/>
      <c r="G32" s="105"/>
      <c r="H32" s="105"/>
      <c r="I32" s="106"/>
      <c r="J32" s="87"/>
    </row>
    <row r="33" spans="1:4" ht="12.75">
      <c r="A33" s="85" t="s">
        <v>116</v>
      </c>
      <c r="B33" s="85"/>
      <c r="C33" s="85"/>
      <c r="D33" s="85"/>
    </row>
  </sheetData>
  <sheetProtection password="E620" sheet="1" objects="1" scenarios="1"/>
  <mergeCells count="17">
    <mergeCell ref="A1:I1"/>
    <mergeCell ref="E30:E31"/>
    <mergeCell ref="F30:I31"/>
    <mergeCell ref="F13:G13"/>
    <mergeCell ref="F4:G4"/>
    <mergeCell ref="A4:C4"/>
    <mergeCell ref="A24:C24"/>
    <mergeCell ref="A2:C2"/>
    <mergeCell ref="A14:C14"/>
    <mergeCell ref="A18:C18"/>
    <mergeCell ref="A32:I32"/>
    <mergeCell ref="A5:C5"/>
    <mergeCell ref="A13:C13"/>
    <mergeCell ref="E2:H2"/>
    <mergeCell ref="A20:C20"/>
    <mergeCell ref="A22:C22"/>
    <mergeCell ref="A10:C10"/>
  </mergeCells>
  <dataValidations count="21">
    <dataValidation type="whole" allowBlank="1" showInputMessage="1" showErrorMessage="1" prompt="Enter the corn heat unit rating for the replant hybrid." error="Replant hybrid CHU rating must be between 250 CHU less than full season to the full season rating." sqref="B16">
      <formula1>B3-250</formula1>
      <formula2>B3</formula2>
    </dataValidation>
    <dataValidation type="whole" allowBlank="1" showInputMessage="1" showErrorMessage="1" prompt="Enter replant corn seeding rate." error="Valid entries are between 28000 and 40000." sqref="B17">
      <formula1>28000</formula1>
      <formula2>40000</formula2>
    </dataValidation>
    <dataValidation type="whole" allowBlank="1" showInputMessage="1" showErrorMessage="1" prompt="Enter the Predicted Replant Yield from line 18 or enter an adjusted yield based on your situation;  i.e. hybrid available for replant has lower yield expectation." error="Valid entries are between 50 and 250." sqref="B19">
      <formula1>50</formula1>
      <formula2>250</formula2>
    </dataValidation>
    <dataValidation type="decimal" allowBlank="1" showInputMessage="1" showErrorMessage="1" prompt="Enter Predicted Harvest moisture from line 20 or make adjustment for your situation; i.e. selecting hybrid with better dry down characteristics than average." error="Valid moisture entry is between 15.5 and 50." sqref="B21">
      <formula1>15.5</formula1>
      <formula2>50</formula2>
    </dataValidation>
    <dataValidation type="decimal" allowBlank="1" showInputMessage="1" showErrorMessage="1" prompt="Enter suggested drying charge from line 22 or make adjustment for your situation; i.e. drying cost associated with your own on farm system." error="Valid drying charge entry is between 05.5 and 1.50." sqref="B23">
      <formula1>0</formula1>
      <formula2>1.5</formula2>
    </dataValidation>
    <dataValidation type="whole" allowBlank="1" showInputMessage="1" showErrorMessage="1" prompt="Enter corn plant population" error="Valid entries are between 12000 and 28000." sqref="B12">
      <formula1>12000</formula1>
      <formula2>28000</formula2>
    </dataValidation>
    <dataValidation type="list" allowBlank="1" showInputMessage="1" showErrorMessage="1" prompt="Select replant date month and make sure you enter the day in the cell to the right." error="Only May and June are valid entries." sqref="B15">
      <formula1>"May, June"</formula1>
    </dataValidation>
    <dataValidation type="whole" allowBlank="1" showInputMessage="1" showErrorMessage="1" prompt="Enter the replant date day of the month." error="Valid days range from 1 to 31." sqref="C15">
      <formula1>1</formula1>
      <formula2>31</formula2>
    </dataValidation>
    <dataValidation type="decimal" allowBlank="1" showInputMessage="1" showErrorMessage="1" prompt="Enter your crop insurance replant payment." error="Valid entries range from 0 to 120" sqref="B25">
      <formula1>0</formula1>
      <formula2>120</formula2>
    </dataValidation>
    <dataValidation type="decimal" allowBlank="1" showInputMessage="1" showErrorMessage="1" prompt="Enter your replant unit seed cost." error="Valid entries range from 0 to 400" sqref="B29">
      <formula1>0</formula1>
      <formula2>400</formula2>
    </dataValidation>
    <dataValidation type="decimal" allowBlank="1" showInputMessage="1" showErrorMessage="1" prompt="Enter cost of herbicide to kill early planted corn.  A $5.00/ac charge is automatically added for sprayer operation costs." error="Valid entries range from 0 to 100" sqref="B26">
      <formula1>0</formula1>
      <formula2>100</formula2>
    </dataValidation>
    <dataValidation type="decimal" allowBlank="1" showInputMessage="1" showErrorMessage="1" prompt="Enter cost of extra tillage used for replanted corn.  Single pass field cultivator custom rates is about $10.00 to $15.00/ac." error="Valid entries range from 0 to 100" sqref="B28">
      <formula1>0</formula1>
      <formula2>100</formula2>
    </dataValidation>
    <dataValidation type="decimal" allowBlank="1" showInputMessage="1" showErrorMessage="1" prompt="Enter sprayer cost associated with herbicide application to kill early planted corn.  A minimum $5.00/ac charge is recommended if applying herbicides to kill early corn.&#10;" error="Valid entries range from 0 to 100" sqref="B27">
      <formula1>0</formula1>
      <formula2>100</formula2>
    </dataValidation>
    <dataValidation type="decimal" allowBlank="1" showInputMessage="1" showErrorMessage="1" prompt="Enter planter costs associated with replanting.  A minimum $10.00/ac charge is recommended to cover operating costs associated with replanting." error="Valid entries range from 0 to 100" sqref="B30">
      <formula1>0</formula1>
      <formula2>100</formula2>
    </dataValidation>
    <dataValidation type="decimal" allowBlank="1" showInputMessage="1" showErrorMessage="1" prompt="Enter expected corn price." error="Valid entries are between 3.00 and 10.00." sqref="B7">
      <formula1>3</formula1>
      <formula2>10</formula2>
    </dataValidation>
    <dataValidation type="whole" allowBlank="1" showInputMessage="1" showErrorMessage="1" prompt="Enter your expected high population yield based on yields obtained from recent years for the field." error="Valid entries are between 100 and 250." sqref="B8">
      <formula1>100</formula1>
      <formula2>250</formula2>
    </dataValidation>
    <dataValidation type="whole" allowBlank="1" showInputMessage="1" showErrorMessage="1" prompt="Enter your full season corn heat unit rating." error="Valid entries are between 2300 and 3700." sqref="B3">
      <formula1>2300</formula1>
      <formula2>3700</formula2>
    </dataValidation>
    <dataValidation type="list" allowBlank="1" showInputMessage="1" showErrorMessage="1" prompt="Select early plant date month and make sure you enter the day in the cell to the right." error="Only April and May are valid entries." sqref="B6">
      <formula1>"April, May"</formula1>
    </dataValidation>
    <dataValidation type="whole" allowBlank="1" showInputMessage="1" showErrorMessage="1" prompt="Enter the early planting date day of the month." error="Valid days range from 1 to 31." sqref="C6">
      <formula1>1</formula1>
      <formula2>31</formula2>
    </dataValidation>
    <dataValidation type="decimal" allowBlank="1" showInputMessage="1" showErrorMessage="1" prompt="Enter expected harvest moisture for early planted corn." error="Valid moisture entry is between 15.5 and 50." sqref="B9">
      <formula1>15.5</formula1>
      <formula2>50</formula2>
    </dataValidation>
    <dataValidation type="decimal" allowBlank="1" showInputMessage="1" showErrorMessage="1" prompt="Enter suggested drying charge from line 10 or make adjustment for your situation; i.e. drying cost associated with your own on farm system." error="Valid drying charge entry is between 05.5 and 1.50." sqref="B11">
      <formula1>0</formula1>
      <formula2>1.5</formula2>
    </dataValidation>
  </dataValidations>
  <printOptions/>
  <pageMargins left="0.3" right="0.24" top="1" bottom="1" header="0.5" footer="0.5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307"/>
  <sheetViews>
    <sheetView zoomScalePageLayoutView="0" workbookViewId="0" topLeftCell="A1">
      <pane xSplit="2" ySplit="5" topLeftCell="C279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306" sqref="A306"/>
    </sheetView>
  </sheetViews>
  <sheetFormatPr defaultColWidth="9.33203125" defaultRowHeight="12.75"/>
  <cols>
    <col min="1" max="1" width="12" style="0" bestFit="1" customWidth="1"/>
    <col min="2" max="2" width="44.5" style="0" bestFit="1" customWidth="1"/>
    <col min="3" max="3" width="10" style="0" bestFit="1" customWidth="1"/>
    <col min="4" max="4" width="30.66015625" style="0" bestFit="1" customWidth="1"/>
    <col min="5" max="5" width="38.83203125" style="0" bestFit="1" customWidth="1"/>
    <col min="6" max="6" width="32.5" style="0" bestFit="1" customWidth="1"/>
    <col min="7" max="7" width="8" style="0" bestFit="1" customWidth="1"/>
    <col min="8" max="8" width="13.33203125" style="0" bestFit="1" customWidth="1"/>
    <col min="9" max="9" width="14.33203125" style="0" bestFit="1" customWidth="1"/>
    <col min="10" max="10" width="9.83203125" style="0" bestFit="1" customWidth="1"/>
    <col min="11" max="11" width="8" style="0" bestFit="1" customWidth="1"/>
    <col min="12" max="14" width="12" style="0" bestFit="1" customWidth="1"/>
    <col min="15" max="15" width="15" style="0" bestFit="1" customWidth="1"/>
    <col min="16" max="16" width="10.66015625" style="0" bestFit="1" customWidth="1"/>
    <col min="17" max="17" width="12.33203125" style="0" bestFit="1" customWidth="1"/>
    <col min="18" max="18" width="10.5" style="0" bestFit="1" customWidth="1"/>
    <col min="19" max="19" width="8" style="0" bestFit="1" customWidth="1"/>
    <col min="20" max="20" width="14.66015625" style="0" bestFit="1" customWidth="1"/>
    <col min="21" max="21" width="27.33203125" style="0" bestFit="1" customWidth="1"/>
    <col min="22" max="22" width="15.83203125" style="0" bestFit="1" customWidth="1"/>
    <col min="23" max="23" width="12.16015625" style="0" bestFit="1" customWidth="1"/>
    <col min="24" max="24" width="40.16015625" style="0" bestFit="1" customWidth="1"/>
    <col min="25" max="25" width="10.33203125" style="0" bestFit="1" customWidth="1"/>
    <col min="26" max="27" width="16.16015625" style="0" bestFit="1" customWidth="1"/>
    <col min="28" max="29" width="13.33203125" style="0" bestFit="1" customWidth="1"/>
    <col min="30" max="31" width="11.66015625" style="0" bestFit="1" customWidth="1"/>
    <col min="32" max="33" width="16.16015625" style="0" bestFit="1" customWidth="1"/>
    <col min="34" max="35" width="14.16015625" style="0" bestFit="1" customWidth="1"/>
    <col min="36" max="36" width="23.16015625" style="0" bestFit="1" customWidth="1"/>
    <col min="37" max="37" width="31.16015625" style="0" bestFit="1" customWidth="1"/>
    <col min="38" max="38" width="15.83203125" style="0" bestFit="1" customWidth="1"/>
    <col min="40" max="40" width="15.83203125" style="0" bestFit="1" customWidth="1"/>
    <col min="41" max="41" width="15.16015625" style="0" bestFit="1" customWidth="1"/>
    <col min="43" max="43" width="15" style="0" bestFit="1" customWidth="1"/>
    <col min="44" max="44" width="10.33203125" style="0" bestFit="1" customWidth="1"/>
    <col min="46" max="46" width="13.83203125" style="0" bestFit="1" customWidth="1"/>
    <col min="47" max="47" width="13.66015625" style="0" bestFit="1" customWidth="1"/>
    <col min="48" max="48" width="12.5" style="0" bestFit="1" customWidth="1"/>
    <col min="49" max="49" width="14.5" style="0" bestFit="1" customWidth="1"/>
    <col min="50" max="51" width="18.33203125" style="0" bestFit="1" customWidth="1"/>
    <col min="52" max="52" width="16.16015625" style="0" bestFit="1" customWidth="1"/>
    <col min="53" max="53" width="34.66015625" style="0" bestFit="1" customWidth="1"/>
    <col min="54" max="54" width="25" style="0" bestFit="1" customWidth="1"/>
    <col min="55" max="55" width="29.16015625" style="0" bestFit="1" customWidth="1"/>
    <col min="56" max="56" width="18.16015625" style="0" bestFit="1" customWidth="1"/>
    <col min="57" max="57" width="27" style="0" bestFit="1" customWidth="1"/>
    <col min="58" max="58" width="16.83203125" style="0" bestFit="1" customWidth="1"/>
    <col min="59" max="59" width="14.5" style="0" bestFit="1" customWidth="1"/>
    <col min="60" max="60" width="15.33203125" style="0" bestFit="1" customWidth="1"/>
    <col min="61" max="61" width="21.33203125" style="0" bestFit="1" customWidth="1"/>
    <col min="62" max="62" width="24.66015625" style="0" bestFit="1" customWidth="1"/>
    <col min="63" max="63" width="15.66015625" style="0" bestFit="1" customWidth="1"/>
    <col min="64" max="64" width="20" style="0" bestFit="1" customWidth="1"/>
    <col min="65" max="65" width="17.83203125" style="0" bestFit="1" customWidth="1"/>
    <col min="66" max="66" width="18" style="0" bestFit="1" customWidth="1"/>
    <col min="67" max="67" width="15.66015625" style="0" bestFit="1" customWidth="1"/>
    <col min="68" max="68" width="18.16015625" style="0" bestFit="1" customWidth="1"/>
    <col min="69" max="70" width="18.5" style="0" bestFit="1" customWidth="1"/>
    <col min="71" max="71" width="21.33203125" style="0" bestFit="1" customWidth="1"/>
    <col min="72" max="72" width="19.16015625" style="0" bestFit="1" customWidth="1"/>
    <col min="73" max="73" width="20.16015625" style="0" bestFit="1" customWidth="1"/>
    <col min="74" max="74" width="17.83203125" style="0" bestFit="1" customWidth="1"/>
    <col min="75" max="75" width="14.66015625" style="0" bestFit="1" customWidth="1"/>
    <col min="76" max="76" width="16.66015625" style="0" bestFit="1" customWidth="1"/>
    <col min="77" max="77" width="14.16015625" style="0" customWidth="1"/>
    <col min="78" max="79" width="14.16015625" style="0" bestFit="1" customWidth="1"/>
    <col min="80" max="81" width="13.33203125" style="0" bestFit="1" customWidth="1"/>
    <col min="82" max="82" width="14" style="0" bestFit="1" customWidth="1"/>
    <col min="83" max="84" width="13.33203125" style="0" bestFit="1" customWidth="1"/>
    <col min="85" max="85" width="18.5" style="0" bestFit="1" customWidth="1"/>
    <col min="86" max="86" width="15.66015625" style="0" bestFit="1" customWidth="1"/>
    <col min="87" max="88" width="17.83203125" style="0" bestFit="1" customWidth="1"/>
    <col min="89" max="89" width="17.66015625" style="0" bestFit="1" customWidth="1"/>
    <col min="90" max="90" width="13.66015625" style="0" bestFit="1" customWidth="1"/>
    <col min="91" max="91" width="15" style="0" bestFit="1" customWidth="1"/>
    <col min="92" max="92" width="14.16015625" style="0" bestFit="1" customWidth="1"/>
    <col min="93" max="93" width="16.66015625" style="0" bestFit="1" customWidth="1"/>
    <col min="94" max="94" width="15.83203125" style="0" bestFit="1" customWidth="1"/>
    <col min="95" max="95" width="18" style="0" bestFit="1" customWidth="1"/>
    <col min="96" max="96" width="22" style="0" bestFit="1" customWidth="1"/>
    <col min="97" max="97" width="23.33203125" style="0" bestFit="1" customWidth="1"/>
    <col min="98" max="98" width="40.16015625" style="0" bestFit="1" customWidth="1"/>
    <col min="99" max="99" width="12.5" style="0" bestFit="1" customWidth="1"/>
    <col min="100" max="100" width="18.33203125" style="0" bestFit="1" customWidth="1"/>
    <col min="101" max="101" width="10.5" style="0" bestFit="1" customWidth="1"/>
    <col min="102" max="102" width="8.16015625" style="0" bestFit="1" customWidth="1"/>
    <col min="103" max="103" width="8.66015625" style="0" bestFit="1" customWidth="1"/>
    <col min="104" max="104" width="9.83203125" style="0" bestFit="1" customWidth="1"/>
    <col min="105" max="105" width="134.83203125" style="0" bestFit="1" customWidth="1"/>
    <col min="106" max="111" width="134.83203125" style="0" customWidth="1"/>
  </cols>
  <sheetData>
    <row r="1" spans="1:111" s="16" customFormat="1" ht="12.75">
      <c r="A1" s="128" t="s">
        <v>62</v>
      </c>
      <c r="B1" s="128"/>
      <c r="C1" s="128"/>
      <c r="D1" s="128"/>
      <c r="E1" s="128"/>
      <c r="F1" s="27"/>
      <c r="G1" s="28"/>
      <c r="H1" s="29"/>
      <c r="I1" s="26"/>
      <c r="J1" s="26"/>
      <c r="K1" s="28"/>
      <c r="L1" s="29"/>
      <c r="M1" s="29"/>
      <c r="N1" s="29"/>
      <c r="O1" s="30"/>
      <c r="P1" s="31"/>
      <c r="Q1" s="31"/>
      <c r="R1" s="26"/>
      <c r="S1" s="28"/>
      <c r="T1" s="29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32"/>
      <c r="AV1" s="27"/>
      <c r="AW1" s="27"/>
      <c r="AX1" s="33"/>
      <c r="AY1" s="33"/>
      <c r="AZ1" s="32"/>
      <c r="BA1" s="34"/>
      <c r="BB1" s="34"/>
      <c r="BC1" s="34"/>
      <c r="BD1" s="34"/>
      <c r="BE1" s="34"/>
      <c r="BF1" s="35"/>
      <c r="BG1" s="35"/>
      <c r="BH1" s="35"/>
      <c r="BI1" s="35"/>
      <c r="BJ1" s="34"/>
      <c r="BK1" s="34"/>
      <c r="BL1" s="34"/>
      <c r="BM1" s="34"/>
      <c r="BN1" s="35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5"/>
      <c r="CC1" s="35"/>
      <c r="CD1" s="35"/>
      <c r="CE1" s="35"/>
      <c r="CF1" s="35"/>
      <c r="CG1" s="35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17"/>
      <c r="CX1" s="25"/>
      <c r="CY1" s="25"/>
      <c r="CZ1" s="25"/>
      <c r="DD1" s="25"/>
      <c r="DE1" s="25"/>
      <c r="DG1" s="25"/>
    </row>
    <row r="2" spans="1:111" s="51" customFormat="1" ht="12.75">
      <c r="A2" s="42" t="s">
        <v>63</v>
      </c>
      <c r="B2" s="52">
        <f>x!B3</f>
        <v>3000</v>
      </c>
      <c r="C2" s="42"/>
      <c r="D2" s="42"/>
      <c r="E2" s="42"/>
      <c r="F2" s="27"/>
      <c r="G2" s="44"/>
      <c r="H2" s="45"/>
      <c r="I2" s="32"/>
      <c r="J2" s="32"/>
      <c r="K2" s="44"/>
      <c r="L2" s="45"/>
      <c r="M2" s="45"/>
      <c r="N2" s="45"/>
      <c r="O2" s="46"/>
      <c r="P2" s="47"/>
      <c r="Q2" s="47"/>
      <c r="R2" s="32"/>
      <c r="S2" s="44"/>
      <c r="T2" s="45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27"/>
      <c r="AW2" s="27"/>
      <c r="AX2" s="33"/>
      <c r="AY2" s="33"/>
      <c r="AZ2" s="32"/>
      <c r="BA2" s="48"/>
      <c r="BB2" s="48"/>
      <c r="BC2" s="48"/>
      <c r="BD2" s="48"/>
      <c r="BE2" s="48"/>
      <c r="BF2" s="49"/>
      <c r="BG2" s="49"/>
      <c r="BH2" s="49"/>
      <c r="BI2" s="49"/>
      <c r="BJ2" s="48"/>
      <c r="BK2" s="48"/>
      <c r="BL2" s="48"/>
      <c r="BM2" s="48"/>
      <c r="BN2" s="49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9"/>
      <c r="CC2" s="49"/>
      <c r="CD2" s="49"/>
      <c r="CE2" s="49"/>
      <c r="CF2" s="49"/>
      <c r="CG2" s="49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50"/>
      <c r="CX2" s="25"/>
      <c r="CY2" s="25"/>
      <c r="CZ2" s="25"/>
      <c r="DD2" s="25"/>
      <c r="DE2" s="25"/>
      <c r="DG2" s="25"/>
    </row>
    <row r="3" spans="1:111" s="51" customFormat="1" ht="12.75">
      <c r="A3" s="42" t="s">
        <v>64</v>
      </c>
      <c r="B3" s="52">
        <f>B2-C3</f>
        <v>2750</v>
      </c>
      <c r="C3" s="42">
        <v>250</v>
      </c>
      <c r="D3" s="42"/>
      <c r="E3" s="42"/>
      <c r="F3" s="27"/>
      <c r="G3" s="44"/>
      <c r="H3" s="45"/>
      <c r="I3" s="32"/>
      <c r="J3" s="32"/>
      <c r="K3" s="44"/>
      <c r="L3" s="45"/>
      <c r="M3" s="45"/>
      <c r="N3" s="45"/>
      <c r="O3" s="46"/>
      <c r="P3" s="47"/>
      <c r="Q3" s="47"/>
      <c r="R3" s="32"/>
      <c r="S3" s="44"/>
      <c r="T3" s="45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27"/>
      <c r="AW3" s="27"/>
      <c r="AX3" s="33"/>
      <c r="AY3" s="33"/>
      <c r="AZ3" s="32"/>
      <c r="BA3" s="48"/>
      <c r="BB3" s="48"/>
      <c r="BC3" s="48"/>
      <c r="BD3" s="48"/>
      <c r="BE3" s="48"/>
      <c r="BF3" s="49"/>
      <c r="BG3" s="49"/>
      <c r="BH3" s="49"/>
      <c r="BI3" s="49"/>
      <c r="BJ3" s="48"/>
      <c r="BK3" s="48"/>
      <c r="BL3" s="48"/>
      <c r="BM3" s="48"/>
      <c r="BN3" s="49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9"/>
      <c r="CC3" s="49"/>
      <c r="CD3" s="49"/>
      <c r="CE3" s="49"/>
      <c r="CF3" s="49"/>
      <c r="CG3" s="49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50"/>
      <c r="CX3" s="25"/>
      <c r="CY3" s="25"/>
      <c r="CZ3" s="25"/>
      <c r="DD3" s="25"/>
      <c r="DE3" s="25"/>
      <c r="DG3" s="25"/>
    </row>
    <row r="4" spans="1:112" ht="12.75">
      <c r="A4" s="1" t="s">
        <v>14</v>
      </c>
      <c r="B4" s="36">
        <f ca="1">DATE(YEAR(NOW()),IF(x!B6="April",4,IF(x!B6="May",5,IF(x!B6="June",6))),x!C6)</f>
        <v>41030</v>
      </c>
      <c r="C4" s="18" t="str">
        <f>x!B6</f>
        <v>May</v>
      </c>
      <c r="D4" s="39">
        <f ca="1">YEAR(NOW())</f>
        <v>2012</v>
      </c>
      <c r="E4" s="18"/>
      <c r="F4" s="9"/>
      <c r="G4" s="19"/>
      <c r="H4" s="8"/>
      <c r="I4" s="21"/>
      <c r="J4" s="11"/>
      <c r="K4" s="20"/>
      <c r="L4" s="7"/>
      <c r="M4" s="6"/>
      <c r="N4" s="8"/>
      <c r="O4" s="15"/>
      <c r="P4" s="21"/>
      <c r="Q4" s="12"/>
      <c r="R4" s="21"/>
      <c r="S4" s="20"/>
      <c r="T4" s="8"/>
      <c r="U4" s="9"/>
      <c r="V4" s="9"/>
      <c r="W4" s="9"/>
      <c r="X4" s="9"/>
      <c r="Y4" s="13"/>
      <c r="Z4" s="14"/>
      <c r="AA4" s="11"/>
      <c r="AB4" s="14"/>
      <c r="AC4" s="11"/>
      <c r="AD4" s="14"/>
      <c r="AE4" s="11"/>
      <c r="AF4" s="14"/>
      <c r="AG4" s="11"/>
      <c r="AH4" s="14"/>
      <c r="AI4" s="11"/>
      <c r="AJ4" s="9"/>
      <c r="AM4" s="11"/>
      <c r="AN4" s="24"/>
      <c r="AO4" s="10"/>
      <c r="AP4" s="11"/>
      <c r="AQ4" s="24"/>
      <c r="AR4" s="10"/>
      <c r="AS4" s="11"/>
      <c r="AT4" s="24"/>
      <c r="BA4" s="5"/>
      <c r="BB4" s="5"/>
      <c r="BC4" s="5"/>
      <c r="BD4" s="5"/>
      <c r="BE4" s="5"/>
      <c r="BF4" s="22"/>
      <c r="BG4" s="22"/>
      <c r="BH4" s="23"/>
      <c r="BI4" s="22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</row>
    <row r="5" spans="1:112" ht="12.75">
      <c r="A5" s="1" t="s">
        <v>15</v>
      </c>
      <c r="B5" s="36">
        <f ca="1">DATE(YEAR(NOW()),IF(x!B15="April",4,IF(x!B15="May",5,IF(x!B15="June",6))),x!C15)</f>
        <v>41053</v>
      </c>
      <c r="C5" s="37"/>
      <c r="G5" s="19"/>
      <c r="K5" s="20"/>
      <c r="L5" s="7"/>
      <c r="M5" s="6"/>
      <c r="N5" s="8"/>
      <c r="O5" s="15"/>
      <c r="Q5" s="36"/>
      <c r="S5" s="20"/>
      <c r="Y5" s="3"/>
      <c r="Z5" s="3"/>
      <c r="AA5" s="3"/>
      <c r="AC5" s="11"/>
      <c r="AD5" s="3"/>
      <c r="AE5" s="3"/>
      <c r="AF5" s="3"/>
      <c r="AG5" s="3"/>
      <c r="AH5" s="3"/>
      <c r="AI5" s="3"/>
      <c r="AM5" s="11"/>
      <c r="AN5" s="24"/>
      <c r="AP5" s="11"/>
      <c r="AQ5" s="24"/>
      <c r="AS5" s="11"/>
      <c r="AT5" s="24"/>
      <c r="BA5" s="5"/>
      <c r="BB5" s="5"/>
      <c r="BC5" s="5"/>
      <c r="BD5" s="5"/>
      <c r="BE5" s="5"/>
      <c r="BF5" s="22"/>
      <c r="BG5" s="22"/>
      <c r="BH5" s="23"/>
      <c r="BI5" s="22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</row>
    <row r="6" spans="1:2" ht="12.75">
      <c r="A6" s="1" t="s">
        <v>16</v>
      </c>
      <c r="B6">
        <f ca="1">MAX(0,B5-DATE(YEAR(NOW()),5,10))</f>
        <v>14</v>
      </c>
    </row>
    <row r="7" ht="12.75">
      <c r="A7" s="1"/>
    </row>
    <row r="8" spans="1:5" ht="12.75">
      <c r="A8" s="128" t="s">
        <v>41</v>
      </c>
      <c r="B8" s="128"/>
      <c r="C8" s="128"/>
      <c r="D8" s="128"/>
      <c r="E8" s="128"/>
    </row>
    <row r="9" spans="1:5" ht="12.75">
      <c r="A9" s="41" t="s">
        <v>101</v>
      </c>
      <c r="B9" s="41" t="s">
        <v>2</v>
      </c>
      <c r="C9" s="41" t="s">
        <v>27</v>
      </c>
      <c r="D9" s="41" t="s">
        <v>28</v>
      </c>
      <c r="E9" s="41" t="s">
        <v>29</v>
      </c>
    </row>
    <row r="10" spans="1:6" ht="12.75">
      <c r="A10">
        <v>29500</v>
      </c>
      <c r="B10">
        <f>AVERAGE(C10:E10)</f>
        <v>-0.21060792278460339</v>
      </c>
      <c r="C10">
        <v>-0.22061265292001067</v>
      </c>
      <c r="D10">
        <v>-0.18919937790643174</v>
      </c>
      <c r="E10">
        <v>-0.2220117375273677</v>
      </c>
      <c r="F10" s="1" t="s">
        <v>39</v>
      </c>
    </row>
    <row r="11" spans="1:6" ht="12.75">
      <c r="A11">
        <v>29750</v>
      </c>
      <c r="B11">
        <f aca="true" t="shared" si="0" ref="B11:B74">AVERAGE(C11:E11)</f>
        <v>-0.20796339982948553</v>
      </c>
      <c r="C11">
        <v>-0.2183475092978096</v>
      </c>
      <c r="D11">
        <v>-0.18646295544238498</v>
      </c>
      <c r="E11">
        <v>-0.21907973474826203</v>
      </c>
      <c r="F11">
        <f>C11-AVERAGE(D11,E11)</f>
        <v>-0.015576164202486087</v>
      </c>
    </row>
    <row r="12" spans="1:5" ht="12.75">
      <c r="A12">
        <v>30000</v>
      </c>
      <c r="B12">
        <f t="shared" si="0"/>
        <v>-0.20534099721965213</v>
      </c>
      <c r="C12">
        <v>-0.21609588004214195</v>
      </c>
      <c r="D12">
        <v>-0.1837539739706491</v>
      </c>
      <c r="E12">
        <v>-0.21617313764616536</v>
      </c>
    </row>
    <row r="13" spans="1:5" ht="12.75">
      <c r="A13">
        <v>30250</v>
      </c>
      <c r="B13">
        <f t="shared" si="0"/>
        <v>-0.20274071495510318</v>
      </c>
      <c r="C13">
        <v>-0.21385776515300767</v>
      </c>
      <c r="D13">
        <v>-0.1810724334912243</v>
      </c>
      <c r="E13">
        <v>-0.2132919462210776</v>
      </c>
    </row>
    <row r="14" spans="1:5" ht="12.75">
      <c r="A14">
        <v>30500</v>
      </c>
      <c r="B14">
        <f t="shared" si="0"/>
        <v>-0.20016255303583874</v>
      </c>
      <c r="C14">
        <v>-0.21163316463040685</v>
      </c>
      <c r="D14">
        <v>-0.17841833400411053</v>
      </c>
      <c r="E14">
        <v>-0.21043616047299887</v>
      </c>
    </row>
    <row r="15" spans="1:5" ht="12.75">
      <c r="A15">
        <v>30750</v>
      </c>
      <c r="B15">
        <f t="shared" si="0"/>
        <v>-0.19760651146185873</v>
      </c>
      <c r="C15">
        <v>-0.20942207847433936</v>
      </c>
      <c r="D15">
        <v>-0.17579167550930772</v>
      </c>
      <c r="E15">
        <v>-0.20760578040192912</v>
      </c>
    </row>
    <row r="16" spans="1:5" ht="12.75">
      <c r="A16">
        <v>31000</v>
      </c>
      <c r="B16">
        <f t="shared" si="0"/>
        <v>-0.19507259023316317</v>
      </c>
      <c r="C16">
        <v>-0.20722450668480533</v>
      </c>
      <c r="D16">
        <v>-0.17319245800681593</v>
      </c>
      <c r="E16">
        <v>-0.2048008060078683</v>
      </c>
    </row>
    <row r="17" spans="1:5" ht="12.75">
      <c r="A17">
        <v>31250</v>
      </c>
      <c r="B17">
        <f t="shared" si="0"/>
        <v>-0.19256078934975207</v>
      </c>
      <c r="C17">
        <v>-0.20504044926180467</v>
      </c>
      <c r="D17">
        <v>-0.1706206814966351</v>
      </c>
      <c r="E17">
        <v>-0.20202123729081645</v>
      </c>
    </row>
    <row r="18" spans="1:5" ht="12.75">
      <c r="A18">
        <v>31500</v>
      </c>
      <c r="B18">
        <f t="shared" si="0"/>
        <v>-0.19007110881162545</v>
      </c>
      <c r="C18">
        <v>-0.2028699062053374</v>
      </c>
      <c r="D18">
        <v>-0.1680763459787653</v>
      </c>
      <c r="E18">
        <v>-0.19926707425077356</v>
      </c>
    </row>
    <row r="19" spans="1:5" ht="12.75">
      <c r="A19">
        <v>31750</v>
      </c>
      <c r="B19">
        <f t="shared" si="0"/>
        <v>-0.18760354861878326</v>
      </c>
      <c r="C19">
        <v>-0.20071287751540356</v>
      </c>
      <c r="D19">
        <v>-0.1655594514532065</v>
      </c>
      <c r="E19">
        <v>-0.19653831688773965</v>
      </c>
    </row>
    <row r="20" spans="1:5" ht="12.75">
      <c r="A20">
        <v>32000</v>
      </c>
      <c r="B20">
        <f t="shared" si="0"/>
        <v>-0.18515810877122552</v>
      </c>
      <c r="C20">
        <v>-0.19856936319200313</v>
      </c>
      <c r="D20">
        <v>-0.16306999791995866</v>
      </c>
      <c r="E20">
        <v>-0.19383496520171475</v>
      </c>
    </row>
    <row r="21" spans="1:5" ht="12.75">
      <c r="A21">
        <v>32250</v>
      </c>
      <c r="B21">
        <f t="shared" si="0"/>
        <v>-0.18273478926895226</v>
      </c>
      <c r="C21">
        <v>-0.1964393632351361</v>
      </c>
      <c r="D21">
        <v>-0.16060798537902185</v>
      </c>
      <c r="E21">
        <v>-0.19115701919269878</v>
      </c>
    </row>
    <row r="22" spans="1:5" ht="12.75">
      <c r="A22">
        <v>32500</v>
      </c>
      <c r="B22">
        <f t="shared" si="0"/>
        <v>-0.18033359011196345</v>
      </c>
      <c r="C22">
        <v>-0.19432287764480252</v>
      </c>
      <c r="D22">
        <v>-0.15817341383039607</v>
      </c>
      <c r="E22">
        <v>-0.18850447886069174</v>
      </c>
    </row>
    <row r="23" spans="1:5" ht="12.75">
      <c r="A23">
        <v>32750</v>
      </c>
      <c r="B23">
        <f t="shared" si="0"/>
        <v>-0.17795451130025908</v>
      </c>
      <c r="C23">
        <v>-0.19221990642100228</v>
      </c>
      <c r="D23">
        <v>-0.15576628327408126</v>
      </c>
      <c r="E23">
        <v>-0.18587734420569368</v>
      </c>
    </row>
    <row r="24" spans="1:5" ht="12.75">
      <c r="A24">
        <v>33000</v>
      </c>
      <c r="B24">
        <f t="shared" si="0"/>
        <v>-0.17559755283383915</v>
      </c>
      <c r="C24">
        <v>-0.19013044956373543</v>
      </c>
      <c r="D24">
        <v>-0.15338659371007743</v>
      </c>
      <c r="E24">
        <v>-0.18327561522770466</v>
      </c>
    </row>
    <row r="25" spans="1:5" ht="12.75">
      <c r="A25">
        <v>33250</v>
      </c>
      <c r="B25">
        <f t="shared" si="0"/>
        <v>-0.1732627147127037</v>
      </c>
      <c r="C25">
        <v>-0.18805450707300203</v>
      </c>
      <c r="D25">
        <v>-0.15103434513838462</v>
      </c>
      <c r="E25">
        <v>-0.18069929192672454</v>
      </c>
    </row>
    <row r="26" spans="1:5" ht="12.75">
      <c r="A26">
        <v>33500</v>
      </c>
      <c r="B26">
        <f t="shared" si="0"/>
        <v>-0.17094999693685275</v>
      </c>
      <c r="C26">
        <v>-0.185992078948802</v>
      </c>
      <c r="D26">
        <v>-0.14870953755900285</v>
      </c>
      <c r="E26">
        <v>-0.17814837430275343</v>
      </c>
    </row>
    <row r="27" spans="1:5" ht="12.75">
      <c r="A27">
        <v>33750</v>
      </c>
      <c r="B27">
        <f t="shared" si="0"/>
        <v>-0.16865939950628625</v>
      </c>
      <c r="C27">
        <v>-0.1839431651911354</v>
      </c>
      <c r="D27">
        <v>-0.14641217097193207</v>
      </c>
      <c r="E27">
        <v>-0.17562286235579128</v>
      </c>
    </row>
    <row r="28" spans="1:5" ht="12.75">
      <c r="A28">
        <v>34000</v>
      </c>
      <c r="B28">
        <f t="shared" si="0"/>
        <v>-0.16639092242100417</v>
      </c>
      <c r="C28">
        <v>-0.18190776580000217</v>
      </c>
      <c r="D28">
        <v>-0.14414224537717224</v>
      </c>
      <c r="E28">
        <v>-0.1731227560858381</v>
      </c>
    </row>
    <row r="29" spans="1:5" ht="12.75">
      <c r="A29">
        <v>34250</v>
      </c>
      <c r="B29">
        <f t="shared" si="0"/>
        <v>-0.16414456568100655</v>
      </c>
      <c r="C29">
        <v>-0.1798858807754024</v>
      </c>
      <c r="D29">
        <v>-0.1418997607747234</v>
      </c>
      <c r="E29">
        <v>-0.17064805549289386</v>
      </c>
    </row>
    <row r="30" spans="1:5" ht="12.75">
      <c r="A30">
        <v>34500</v>
      </c>
      <c r="B30">
        <f t="shared" si="0"/>
        <v>-0.1619203292862934</v>
      </c>
      <c r="C30">
        <v>-0.177877510117336</v>
      </c>
      <c r="D30">
        <v>-0.13968471716458564</v>
      </c>
      <c r="E30">
        <v>-0.1681987605769586</v>
      </c>
    </row>
    <row r="31" spans="1:5" ht="12.75">
      <c r="A31">
        <v>34750</v>
      </c>
      <c r="B31">
        <f t="shared" si="0"/>
        <v>-0.15971821323686475</v>
      </c>
      <c r="C31">
        <v>-0.17588265382580304</v>
      </c>
      <c r="D31">
        <v>-0.13749711454675886</v>
      </c>
      <c r="E31">
        <v>-0.16577487133803237</v>
      </c>
    </row>
    <row r="32" spans="1:5" ht="12.75">
      <c r="A32">
        <v>35000</v>
      </c>
      <c r="B32">
        <f t="shared" si="0"/>
        <v>-0.15753821753272046</v>
      </c>
      <c r="C32">
        <v>-0.17390131190080343</v>
      </c>
      <c r="D32">
        <v>-0.135336952921243</v>
      </c>
      <c r="E32">
        <v>-0.163376387776115</v>
      </c>
    </row>
    <row r="33" spans="1:5" ht="12.75">
      <c r="A33">
        <v>35250</v>
      </c>
      <c r="B33">
        <f t="shared" si="0"/>
        <v>-0.15538034217386068</v>
      </c>
      <c r="C33">
        <v>-0.17193348434233724</v>
      </c>
      <c r="D33">
        <v>-0.1332042322880382</v>
      </c>
      <c r="E33">
        <v>-0.16100330989120662</v>
      </c>
    </row>
    <row r="34" spans="1:5" ht="12.75">
      <c r="A34">
        <v>35500</v>
      </c>
      <c r="B34">
        <f t="shared" si="0"/>
        <v>-0.1532445871602854</v>
      </c>
      <c r="C34">
        <v>-0.1699791711504045</v>
      </c>
      <c r="D34">
        <v>-0.13109895264714444</v>
      </c>
      <c r="E34">
        <v>-0.15865563768330726</v>
      </c>
    </row>
    <row r="35" spans="1:5" ht="12.75">
      <c r="A35">
        <v>35750</v>
      </c>
      <c r="B35">
        <f t="shared" si="0"/>
        <v>-0.1511309524919945</v>
      </c>
      <c r="C35">
        <v>-0.16803837232500513</v>
      </c>
      <c r="D35">
        <v>-0.12902111399856162</v>
      </c>
      <c r="E35">
        <v>-0.15633337115241688</v>
      </c>
    </row>
    <row r="36" spans="1:5" ht="12.75">
      <c r="A36">
        <v>36000</v>
      </c>
      <c r="B36">
        <f t="shared" si="0"/>
        <v>-0.1490394381689881</v>
      </c>
      <c r="C36">
        <v>-0.1661110878661391</v>
      </c>
      <c r="D36">
        <v>-0.12697071634228982</v>
      </c>
      <c r="E36">
        <v>-0.15403651029853538</v>
      </c>
    </row>
    <row r="37" spans="1:5" ht="12.75">
      <c r="A37">
        <v>36250</v>
      </c>
      <c r="B37">
        <f t="shared" si="0"/>
        <v>-0.14697004419126616</v>
      </c>
      <c r="C37">
        <v>-0.16419731777380656</v>
      </c>
      <c r="D37">
        <v>-0.12494775967832901</v>
      </c>
      <c r="E37">
        <v>-0.15176505512166294</v>
      </c>
    </row>
    <row r="38" spans="1:5" ht="12.75">
      <c r="A38">
        <v>36500</v>
      </c>
      <c r="B38">
        <f t="shared" si="0"/>
        <v>-0.14492277055882868</v>
      </c>
      <c r="C38">
        <v>-0.1622970620480074</v>
      </c>
      <c r="D38">
        <v>-0.12295224400667921</v>
      </c>
      <c r="E38">
        <v>-0.14951900562179943</v>
      </c>
    </row>
    <row r="39" spans="1:5" ht="12.75">
      <c r="A39">
        <v>36750</v>
      </c>
      <c r="B39">
        <f t="shared" si="0"/>
        <v>-0.14289761727167566</v>
      </c>
      <c r="C39">
        <v>-0.16041032068874164</v>
      </c>
      <c r="D39">
        <v>-0.12098416932734042</v>
      </c>
      <c r="E39">
        <v>-0.1472983617989449</v>
      </c>
    </row>
    <row r="40" spans="1:5" ht="12.75">
      <c r="A40">
        <v>37000</v>
      </c>
      <c r="B40">
        <f t="shared" si="0"/>
        <v>-0.14089458432980706</v>
      </c>
      <c r="C40">
        <v>-0.15853709369600927</v>
      </c>
      <c r="D40">
        <v>-0.11904353564031263</v>
      </c>
      <c r="E40">
        <v>-0.14510312365309933</v>
      </c>
    </row>
    <row r="41" spans="1:5" ht="12.75">
      <c r="A41">
        <v>37250</v>
      </c>
      <c r="B41">
        <f t="shared" si="0"/>
        <v>-0.13891367173322297</v>
      </c>
      <c r="C41">
        <v>-0.15667738106981036</v>
      </c>
      <c r="D41">
        <v>-0.11713034294559582</v>
      </c>
      <c r="E41">
        <v>-0.14293329118426273</v>
      </c>
    </row>
    <row r="42" spans="1:5" ht="12.75">
      <c r="A42">
        <v>37500</v>
      </c>
      <c r="B42">
        <f t="shared" si="0"/>
        <v>-0.1369548794819233</v>
      </c>
      <c r="C42">
        <v>-0.1548311828101448</v>
      </c>
      <c r="D42">
        <v>-0.11524459124319004</v>
      </c>
      <c r="E42">
        <v>-0.14078886439243507</v>
      </c>
    </row>
    <row r="43" spans="1:5" ht="12.75">
      <c r="A43">
        <v>37750</v>
      </c>
      <c r="B43">
        <f t="shared" si="0"/>
        <v>-0.1350182075759081</v>
      </c>
      <c r="C43">
        <v>-0.15299849891701264</v>
      </c>
      <c r="D43">
        <v>-0.11338628053309525</v>
      </c>
      <c r="E43">
        <v>-0.13866984327761642</v>
      </c>
    </row>
    <row r="44" spans="1:5" ht="12.75">
      <c r="A44">
        <v>38000</v>
      </c>
      <c r="B44">
        <f t="shared" si="0"/>
        <v>-0.13310365601517737</v>
      </c>
      <c r="C44">
        <v>-0.15117932939041392</v>
      </c>
      <c r="D44">
        <v>-0.11155541081531145</v>
      </c>
      <c r="E44">
        <v>-0.13657622783980672</v>
      </c>
    </row>
    <row r="45" spans="1:5" ht="12.75">
      <c r="A45">
        <v>38250</v>
      </c>
      <c r="B45">
        <f t="shared" si="0"/>
        <v>-0.13121122479973107</v>
      </c>
      <c r="C45">
        <v>-0.14937367423034856</v>
      </c>
      <c r="D45">
        <v>-0.10975198208983865</v>
      </c>
      <c r="E45">
        <v>-0.13450801807900603</v>
      </c>
    </row>
    <row r="46" spans="1:5" ht="12.75">
      <c r="A46">
        <v>38500</v>
      </c>
      <c r="B46">
        <f t="shared" si="0"/>
        <v>-0.12934091392956926</v>
      </c>
      <c r="C46">
        <v>-0.14758153343681668</v>
      </c>
      <c r="D46">
        <v>-0.10797599435667686</v>
      </c>
      <c r="E46">
        <v>-0.13246521399521424</v>
      </c>
    </row>
    <row r="47" spans="1:5" ht="12.75">
      <c r="A47">
        <v>38750</v>
      </c>
      <c r="B47">
        <f t="shared" si="0"/>
        <v>-0.12749272340469187</v>
      </c>
      <c r="C47">
        <v>-0.14580290700981813</v>
      </c>
      <c r="D47">
        <v>-0.10622744761582605</v>
      </c>
      <c r="E47">
        <v>-0.13044781558843146</v>
      </c>
    </row>
    <row r="48" spans="1:5" ht="12.75">
      <c r="A48">
        <v>39000</v>
      </c>
      <c r="B48">
        <f t="shared" si="0"/>
        <v>-0.12566665322509898</v>
      </c>
      <c r="C48">
        <v>-0.14403779494935304</v>
      </c>
      <c r="D48">
        <v>-0.10450634186728629</v>
      </c>
      <c r="E48">
        <v>-0.12845582285865764</v>
      </c>
    </row>
    <row r="49" spans="1:5" ht="12.75">
      <c r="A49">
        <v>39250</v>
      </c>
      <c r="B49">
        <f t="shared" si="0"/>
        <v>-0.12386270339079052</v>
      </c>
      <c r="C49">
        <v>-0.1422861972554213</v>
      </c>
      <c r="D49">
        <v>-0.10281267711105747</v>
      </c>
      <c r="E49">
        <v>-0.12648923580589277</v>
      </c>
    </row>
    <row r="50" spans="1:5" ht="12.75">
      <c r="A50">
        <v>39500</v>
      </c>
      <c r="B50">
        <f t="shared" si="0"/>
        <v>-0.12208087390176653</v>
      </c>
      <c r="C50">
        <v>-0.140548113928023</v>
      </c>
      <c r="D50">
        <v>-0.10114645334713969</v>
      </c>
      <c r="E50">
        <v>-0.12454805443013689</v>
      </c>
    </row>
    <row r="51" spans="1:5" ht="12.75">
      <c r="A51">
        <v>39750</v>
      </c>
      <c r="B51">
        <f t="shared" si="0"/>
        <v>-0.12032116475802697</v>
      </c>
      <c r="C51">
        <v>-0.13882354496715807</v>
      </c>
      <c r="D51">
        <v>-0.09950767057553288</v>
      </c>
      <c r="E51">
        <v>-0.12263227873139</v>
      </c>
    </row>
    <row r="52" spans="1:5" ht="12.75">
      <c r="A52">
        <v>40000</v>
      </c>
      <c r="B52">
        <f t="shared" si="0"/>
        <v>-0.11858357595957188</v>
      </c>
      <c r="C52">
        <v>-0.13711249037282655</v>
      </c>
      <c r="D52">
        <v>-0.09789632879623707</v>
      </c>
      <c r="E52">
        <v>-0.12074190870965204</v>
      </c>
    </row>
    <row r="53" spans="1:5" ht="12.75">
      <c r="A53">
        <v>40250</v>
      </c>
      <c r="B53">
        <f t="shared" si="0"/>
        <v>-0.11686810750640127</v>
      </c>
      <c r="C53">
        <v>-0.13541495014502847</v>
      </c>
      <c r="D53">
        <v>-0.09631242800925228</v>
      </c>
      <c r="E53">
        <v>-0.11887694436492305</v>
      </c>
    </row>
    <row r="54" spans="1:5" ht="12.75">
      <c r="A54">
        <v>40500</v>
      </c>
      <c r="B54">
        <f t="shared" si="0"/>
        <v>-0.11517475939851511</v>
      </c>
      <c r="C54">
        <v>-0.1337309242837638</v>
      </c>
      <c r="D54">
        <v>-0.09475596821457849</v>
      </c>
      <c r="E54">
        <v>-0.11703738569720305</v>
      </c>
    </row>
    <row r="55" spans="1:5" ht="12.75">
      <c r="A55">
        <v>40750</v>
      </c>
      <c r="B55">
        <f t="shared" si="0"/>
        <v>-0.11350353163591341</v>
      </c>
      <c r="C55">
        <v>-0.13206041278903252</v>
      </c>
      <c r="D55">
        <v>-0.09322694941221572</v>
      </c>
      <c r="E55">
        <v>-0.115223232706492</v>
      </c>
    </row>
    <row r="56" spans="1:5" ht="12.75">
      <c r="A56">
        <v>41000</v>
      </c>
      <c r="B56">
        <f t="shared" si="0"/>
        <v>-0.11185442421859615</v>
      </c>
      <c r="C56">
        <v>-0.13040341566083458</v>
      </c>
      <c r="D56">
        <v>-0.09172537160216394</v>
      </c>
      <c r="E56">
        <v>-0.11343448539278993</v>
      </c>
    </row>
    <row r="57" spans="1:5" ht="12.75">
      <c r="A57">
        <v>41250</v>
      </c>
      <c r="B57">
        <f t="shared" si="0"/>
        <v>-0.11022743714656336</v>
      </c>
      <c r="C57">
        <v>-0.12875993289917012</v>
      </c>
      <c r="D57">
        <v>-0.09025123478442314</v>
      </c>
      <c r="E57">
        <v>-0.11167114375609684</v>
      </c>
    </row>
    <row r="58" spans="1:5" ht="12.75">
      <c r="A58">
        <v>41500</v>
      </c>
      <c r="B58">
        <f t="shared" si="0"/>
        <v>-0.10862257041981503</v>
      </c>
      <c r="C58">
        <v>-0.12712996450403904</v>
      </c>
      <c r="D58">
        <v>-0.08880453895899336</v>
      </c>
      <c r="E58">
        <v>-0.10993320779641268</v>
      </c>
    </row>
    <row r="59" spans="1:5" ht="12.75">
      <c r="A59">
        <v>41750</v>
      </c>
      <c r="B59">
        <f t="shared" si="0"/>
        <v>-0.10703982403835115</v>
      </c>
      <c r="C59">
        <v>-0.12551351047544135</v>
      </c>
      <c r="D59">
        <v>-0.08738528412587454</v>
      </c>
      <c r="E59">
        <v>-0.10822067751373754</v>
      </c>
    </row>
    <row r="60" spans="1:5" ht="12.75">
      <c r="A60">
        <v>42000</v>
      </c>
      <c r="B60">
        <f t="shared" si="0"/>
        <v>-0.10547919800217175</v>
      </c>
      <c r="C60">
        <v>-0.12391057081337709</v>
      </c>
      <c r="D60">
        <v>-0.0859934702850668</v>
      </c>
      <c r="E60">
        <v>-0.10653355290807132</v>
      </c>
    </row>
    <row r="61" spans="1:5" ht="12.75">
      <c r="A61">
        <v>42250</v>
      </c>
      <c r="B61">
        <f t="shared" si="0"/>
        <v>-0.10394069231127678</v>
      </c>
      <c r="C61">
        <v>-0.12232114551784626</v>
      </c>
      <c r="D61">
        <v>-0.08462909743656997</v>
      </c>
      <c r="E61">
        <v>-0.10487183397941412</v>
      </c>
    </row>
    <row r="62" spans="1:5" ht="12.75">
      <c r="A62">
        <v>42500</v>
      </c>
      <c r="B62">
        <f t="shared" si="0"/>
        <v>-0.10242430696566628</v>
      </c>
      <c r="C62">
        <v>-0.12074523458884875</v>
      </c>
      <c r="D62">
        <v>-0.08329216558038417</v>
      </c>
      <c r="E62">
        <v>-0.10323552072776587</v>
      </c>
    </row>
    <row r="63" spans="1:5" ht="12.75">
      <c r="A63">
        <v>42750</v>
      </c>
      <c r="B63">
        <f t="shared" si="0"/>
        <v>-0.10093004196534021</v>
      </c>
      <c r="C63">
        <v>-0.11918283802638469</v>
      </c>
      <c r="D63">
        <v>-0.08198267471650938</v>
      </c>
      <c r="E63">
        <v>-0.10162461315312653</v>
      </c>
    </row>
    <row r="64" spans="1:5" ht="12.75">
      <c r="A64">
        <v>43000</v>
      </c>
      <c r="B64">
        <f t="shared" si="0"/>
        <v>-0.09945789731029864</v>
      </c>
      <c r="C64">
        <v>-0.11763395583045405</v>
      </c>
      <c r="D64">
        <v>-0.08070062484494561</v>
      </c>
      <c r="E64">
        <v>-0.10003911125549622</v>
      </c>
    </row>
    <row r="65" spans="1:5" ht="12.75">
      <c r="A65">
        <v>43250</v>
      </c>
      <c r="B65">
        <f t="shared" si="0"/>
        <v>-0.09800787300054152</v>
      </c>
      <c r="C65">
        <v>-0.1160985880010568</v>
      </c>
      <c r="D65">
        <v>-0.07944601596569285</v>
      </c>
      <c r="E65">
        <v>-0.09847901503487487</v>
      </c>
    </row>
    <row r="66" spans="1:5" ht="12.75">
      <c r="A66">
        <v>43500</v>
      </c>
      <c r="B66">
        <f t="shared" si="0"/>
        <v>-0.09657996903606884</v>
      </c>
      <c r="C66">
        <v>-0.11457673453819295</v>
      </c>
      <c r="D66">
        <v>-0.07821884807875105</v>
      </c>
      <c r="E66">
        <v>-0.09694432449126249</v>
      </c>
    </row>
    <row r="67" spans="1:5" ht="12.75">
      <c r="A67">
        <v>43750</v>
      </c>
      <c r="B67">
        <f t="shared" si="0"/>
        <v>-0.09517418541688062</v>
      </c>
      <c r="C67">
        <v>-0.11306839544186252</v>
      </c>
      <c r="D67">
        <v>-0.07701912118412028</v>
      </c>
      <c r="E67">
        <v>-0.09543503962465907</v>
      </c>
    </row>
    <row r="68" spans="1:5" ht="12.75">
      <c r="A68">
        <v>44000</v>
      </c>
      <c r="B68">
        <f t="shared" si="0"/>
        <v>-0.09379052214297684</v>
      </c>
      <c r="C68">
        <v>-0.11157357071206545</v>
      </c>
      <c r="D68">
        <v>-0.07584683528180049</v>
      </c>
      <c r="E68">
        <v>-0.09395116043506459</v>
      </c>
    </row>
    <row r="69" spans="1:5" ht="12.75">
      <c r="A69">
        <v>44250</v>
      </c>
      <c r="B69">
        <f t="shared" si="0"/>
        <v>-0.09242897921435755</v>
      </c>
      <c r="C69">
        <v>-0.11009226034880183</v>
      </c>
      <c r="D69">
        <v>-0.0747019903717917</v>
      </c>
      <c r="E69">
        <v>-0.09249268692247913</v>
      </c>
    </row>
    <row r="70" spans="1:5" ht="12.75">
      <c r="A70">
        <v>44500</v>
      </c>
      <c r="B70">
        <f t="shared" si="0"/>
        <v>-0.09108943586276359</v>
      </c>
      <c r="C70">
        <v>-0.10862443918259035</v>
      </c>
      <c r="D70">
        <v>-0.07358439836889467</v>
      </c>
      <c r="E70">
        <v>-0.09105947003680578</v>
      </c>
    </row>
    <row r="71" spans="1:5" ht="12.75">
      <c r="A71">
        <v>44750</v>
      </c>
      <c r="B71">
        <f t="shared" si="0"/>
        <v>-0.08976590651135331</v>
      </c>
      <c r="C71">
        <v>-0.10716885975101717</v>
      </c>
      <c r="D71">
        <v>-0.07248473730042182</v>
      </c>
      <c r="E71">
        <v>-0.08964412248262098</v>
      </c>
    </row>
    <row r="72" spans="1:5" ht="12.75">
      <c r="A72">
        <v>45000</v>
      </c>
      <c r="B72">
        <f t="shared" si="0"/>
        <v>-0.08845506248498525</v>
      </c>
      <c r="C72">
        <v>-0.10572482832025565</v>
      </c>
      <c r="D72">
        <v>-0.07139782306806895</v>
      </c>
      <c r="E72">
        <v>-0.08824253606663113</v>
      </c>
    </row>
    <row r="73" spans="1:5" ht="12.75">
      <c r="A73">
        <v>45250</v>
      </c>
      <c r="B73">
        <f t="shared" si="0"/>
        <v>-0.08715690378365931</v>
      </c>
      <c r="C73">
        <v>-0.1042923448903057</v>
      </c>
      <c r="D73">
        <v>-0.07032365567183609</v>
      </c>
      <c r="E73">
        <v>-0.08685471078883618</v>
      </c>
    </row>
    <row r="74" spans="1:5" ht="12.75">
      <c r="A74">
        <v>45500</v>
      </c>
      <c r="B74">
        <f t="shared" si="0"/>
        <v>-0.08587143040737562</v>
      </c>
      <c r="C74">
        <v>-0.10287140946116748</v>
      </c>
      <c r="D74">
        <v>-0.06926223511172318</v>
      </c>
      <c r="E74">
        <v>-0.0854806466492362</v>
      </c>
    </row>
    <row r="75" spans="1:5" ht="12.75">
      <c r="A75">
        <v>45750</v>
      </c>
      <c r="B75">
        <f aca="true" t="shared" si="1" ref="B75:B138">AVERAGE(C75:E75)</f>
        <v>-0.08459864235613411</v>
      </c>
      <c r="C75">
        <v>-0.10146202203284085</v>
      </c>
      <c r="D75">
        <v>-0.06821356138773028</v>
      </c>
      <c r="E75">
        <v>-0.08412034364783116</v>
      </c>
    </row>
    <row r="76" spans="1:5" ht="12.75">
      <c r="A76">
        <v>46000</v>
      </c>
      <c r="B76">
        <f t="shared" si="1"/>
        <v>-0.08333853962993476</v>
      </c>
      <c r="C76">
        <v>-0.10006418260532587</v>
      </c>
      <c r="D76">
        <v>-0.06717763449985738</v>
      </c>
      <c r="E76">
        <v>-0.08277380178462104</v>
      </c>
    </row>
    <row r="77" spans="1:5" ht="12.75">
      <c r="A77">
        <v>46250</v>
      </c>
      <c r="B77">
        <f t="shared" si="1"/>
        <v>-0.08209112222877762</v>
      </c>
      <c r="C77">
        <v>-0.09867789117862254</v>
      </c>
      <c r="D77">
        <v>-0.06615445444810446</v>
      </c>
      <c r="E77">
        <v>-0.08144102105960589</v>
      </c>
    </row>
    <row r="78" spans="1:5" ht="12.75">
      <c r="A78">
        <v>46500</v>
      </c>
      <c r="B78">
        <f t="shared" si="1"/>
        <v>-0.08085639015266269</v>
      </c>
      <c r="C78">
        <v>-0.09730314775273088</v>
      </c>
      <c r="D78">
        <v>-0.06514402123247152</v>
      </c>
      <c r="E78">
        <v>-0.08012200147278567</v>
      </c>
    </row>
    <row r="79" spans="1:5" ht="12.75">
      <c r="A79">
        <v>46750</v>
      </c>
      <c r="B79">
        <f t="shared" si="1"/>
        <v>-0.07963434340158992</v>
      </c>
      <c r="C79">
        <v>-0.09593995232765082</v>
      </c>
      <c r="D79">
        <v>-0.06414633485295858</v>
      </c>
      <c r="E79">
        <v>-0.07881674302416036</v>
      </c>
    </row>
    <row r="80" spans="1:5" ht="12.75">
      <c r="A80">
        <v>47000</v>
      </c>
      <c r="B80">
        <f t="shared" si="1"/>
        <v>-0.07842498197555936</v>
      </c>
      <c r="C80">
        <v>-0.09458830490338242</v>
      </c>
      <c r="D80">
        <v>-0.06316139530956562</v>
      </c>
      <c r="E80">
        <v>-0.07752524571373004</v>
      </c>
    </row>
    <row r="81" spans="1:5" ht="12.75">
      <c r="A81">
        <v>47250</v>
      </c>
      <c r="B81">
        <f t="shared" si="1"/>
        <v>-0.07722830587457097</v>
      </c>
      <c r="C81">
        <v>-0.09324820547992567</v>
      </c>
      <c r="D81">
        <v>-0.062189202602292624</v>
      </c>
      <c r="E81">
        <v>-0.07624750954149463</v>
      </c>
    </row>
    <row r="82" spans="1:5" ht="12.75">
      <c r="A82">
        <v>47500</v>
      </c>
      <c r="B82">
        <f t="shared" si="1"/>
        <v>-0.07604431509862479</v>
      </c>
      <c r="C82">
        <v>-0.09191965405728056</v>
      </c>
      <c r="D82">
        <v>-0.06122975673113965</v>
      </c>
      <c r="E82">
        <v>-0.07498353450745414</v>
      </c>
    </row>
    <row r="83" spans="1:5" ht="12.75">
      <c r="A83">
        <v>47750</v>
      </c>
      <c r="B83">
        <f t="shared" si="1"/>
        <v>-0.0748730096477208</v>
      </c>
      <c r="C83">
        <v>-0.09060265063544709</v>
      </c>
      <c r="D83">
        <v>-0.060283057696106666</v>
      </c>
      <c r="E83">
        <v>-0.07373332061160862</v>
      </c>
    </row>
    <row r="84" spans="1:5" ht="12.75">
      <c r="A84">
        <v>48000</v>
      </c>
      <c r="B84">
        <f t="shared" si="1"/>
        <v>-0.07371438952185899</v>
      </c>
      <c r="C84">
        <v>-0.08929719521442527</v>
      </c>
      <c r="D84">
        <v>-0.05934910549719368</v>
      </c>
      <c r="E84">
        <v>-0.07249686785395804</v>
      </c>
    </row>
    <row r="85" spans="1:5" ht="12.75">
      <c r="A85">
        <v>48250</v>
      </c>
      <c r="B85">
        <f t="shared" si="1"/>
        <v>-0.07256845472103939</v>
      </c>
      <c r="C85">
        <v>-0.08800328779421507</v>
      </c>
      <c r="D85">
        <v>-0.058427900134400655</v>
      </c>
      <c r="E85">
        <v>-0.0712741762345024</v>
      </c>
    </row>
    <row r="86" spans="1:5" ht="12.75">
      <c r="A86">
        <v>48500</v>
      </c>
      <c r="B86">
        <f t="shared" si="1"/>
        <v>-0.07143520524526194</v>
      </c>
      <c r="C86">
        <v>-0.08672092837481653</v>
      </c>
      <c r="D86">
        <v>-0.0575194416077276</v>
      </c>
      <c r="E86">
        <v>-0.07006524575324168</v>
      </c>
    </row>
    <row r="87" spans="1:5" ht="12.75">
      <c r="A87">
        <v>48750</v>
      </c>
      <c r="B87">
        <f t="shared" si="1"/>
        <v>-0.07031464109452672</v>
      </c>
      <c r="C87">
        <v>-0.08545011695622964</v>
      </c>
      <c r="D87">
        <v>-0.05662372991717458</v>
      </c>
      <c r="E87">
        <v>-0.06887007641017591</v>
      </c>
    </row>
    <row r="88" spans="1:5" ht="12.75">
      <c r="A88">
        <v>49000</v>
      </c>
      <c r="B88">
        <f t="shared" si="1"/>
        <v>-0.06920665406775296</v>
      </c>
      <c r="C88">
        <v>-0.0841908535384544</v>
      </c>
      <c r="D88">
        <v>-0.05574076506274154</v>
      </c>
      <c r="E88">
        <v>-0.06768834360206298</v>
      </c>
    </row>
    <row r="89" spans="1:5" ht="12.75">
      <c r="A89">
        <v>49250</v>
      </c>
      <c r="B89">
        <f t="shared" si="1"/>
        <v>-0.06811101798740206</v>
      </c>
      <c r="C89">
        <v>-0.08294313812149079</v>
      </c>
      <c r="D89">
        <v>-0.05487054704442845</v>
      </c>
      <c r="E89">
        <v>-0.06651936879628692</v>
      </c>
    </row>
    <row r="90" spans="1:5" ht="12.75">
      <c r="A90">
        <v>49500</v>
      </c>
      <c r="B90">
        <f t="shared" si="1"/>
        <v>-0.06702740888713928</v>
      </c>
      <c r="C90">
        <v>-0.08170693523704645</v>
      </c>
      <c r="D90">
        <v>-0.05401307586223536</v>
      </c>
      <c r="E90">
        <v>-0.06536221556213602</v>
      </c>
    </row>
    <row r="91" spans="1:5" ht="12.75">
      <c r="A91">
        <v>49750</v>
      </c>
      <c r="B91">
        <f t="shared" si="1"/>
        <v>-0.06595538016542131</v>
      </c>
      <c r="C91">
        <v>-0.08048134882094121</v>
      </c>
      <c r="D91">
        <v>-0.05316835151616226</v>
      </c>
      <c r="E91">
        <v>-0.06421644015916049</v>
      </c>
    </row>
    <row r="92" spans="1:5" ht="12.75">
      <c r="A92">
        <v>50000</v>
      </c>
      <c r="B92">
        <f t="shared" si="1"/>
        <v>-0.0648948017916799</v>
      </c>
      <c r="C92">
        <v>-0.07926598878147031</v>
      </c>
      <c r="D92">
        <v>-0.05233637400620917</v>
      </c>
      <c r="E92">
        <v>-0.06308204258736025</v>
      </c>
    </row>
    <row r="93" spans="1:5" ht="12.75">
      <c r="A93">
        <v>50250</v>
      </c>
      <c r="B93">
        <f t="shared" si="1"/>
        <v>-0.06384567376591509</v>
      </c>
      <c r="C93">
        <v>-0.07806085511863384</v>
      </c>
      <c r="D93">
        <v>-0.051517143332376086</v>
      </c>
      <c r="E93">
        <v>-0.06195902284673532</v>
      </c>
    </row>
    <row r="94" spans="1:5" ht="12.75">
      <c r="A94">
        <v>50500</v>
      </c>
      <c r="B94">
        <f t="shared" si="1"/>
        <v>-0.06280799608812679</v>
      </c>
      <c r="C94">
        <v>-0.07686594783243168</v>
      </c>
      <c r="D94">
        <v>-0.05071065949466296</v>
      </c>
      <c r="E94">
        <v>-0.06084738093728573</v>
      </c>
    </row>
    <row r="95" spans="1:6" ht="12.75">
      <c r="A95">
        <v>50750</v>
      </c>
      <c r="B95">
        <f t="shared" si="1"/>
        <v>-0.06178176875831504</v>
      </c>
      <c r="C95">
        <v>-0.07568126692286385</v>
      </c>
      <c r="D95">
        <v>-0.04991692249306981</v>
      </c>
      <c r="E95">
        <v>-0.05974711685901146</v>
      </c>
      <c r="F95">
        <f>C95-AVERAGE(D95,E95)</f>
        <v>-0.020849247246823216</v>
      </c>
    </row>
    <row r="96" spans="1:5" ht="12.75">
      <c r="A96">
        <v>51000</v>
      </c>
      <c r="B96">
        <f t="shared" si="1"/>
        <v>-0.06076690871000772</v>
      </c>
      <c r="C96">
        <v>-0.07450681238993043</v>
      </c>
      <c r="D96">
        <v>-0.04913568312818022</v>
      </c>
      <c r="E96">
        <v>-0.0586582306119125</v>
      </c>
    </row>
    <row r="97" spans="1:5" ht="12.75">
      <c r="A97">
        <v>51250</v>
      </c>
      <c r="B97">
        <f t="shared" si="1"/>
        <v>-0.05976308372270395</v>
      </c>
      <c r="C97">
        <v>-0.07334258423363134</v>
      </c>
      <c r="D97">
        <v>-0.04836594473849165</v>
      </c>
      <c r="E97">
        <v>-0.05758072219598886</v>
      </c>
    </row>
    <row r="98" spans="1:5" ht="12.75">
      <c r="A98">
        <v>51500</v>
      </c>
      <c r="B98">
        <f t="shared" si="1"/>
        <v>-0.05877025916919765</v>
      </c>
      <c r="C98">
        <v>-0.0721885824539666</v>
      </c>
      <c r="D98">
        <v>-0.04760760344238577</v>
      </c>
      <c r="E98">
        <v>-0.05651459161124055</v>
      </c>
    </row>
    <row r="99" spans="1:5" ht="12.75">
      <c r="A99">
        <v>51750</v>
      </c>
      <c r="B99">
        <f t="shared" si="1"/>
        <v>-0.057787833306924406</v>
      </c>
      <c r="C99">
        <v>-0.07104480705093622</v>
      </c>
      <c r="D99">
        <v>-0.046858854012169444</v>
      </c>
      <c r="E99">
        <v>-0.05545983885766755</v>
      </c>
    </row>
    <row r="100" spans="1:5" ht="12.75">
      <c r="A100">
        <v>52000</v>
      </c>
      <c r="B100">
        <f t="shared" si="1"/>
        <v>-0.05681466859771</v>
      </c>
      <c r="C100">
        <v>-0.06991125802454021</v>
      </c>
      <c r="D100">
        <v>-0.04611628383331993</v>
      </c>
      <c r="E100">
        <v>-0.05441646393526986</v>
      </c>
    </row>
    <row r="101" spans="1:5" ht="12.75">
      <c r="A101">
        <v>52250</v>
      </c>
      <c r="B101">
        <f t="shared" si="1"/>
        <v>-0.05585073120064075</v>
      </c>
      <c r="C101">
        <v>-0.06878793537477855</v>
      </c>
      <c r="D101">
        <v>-0.0453797913830962</v>
      </c>
      <c r="E101">
        <v>-0.053384466844047504</v>
      </c>
    </row>
    <row r="102" spans="1:5" ht="12.75">
      <c r="A102">
        <v>52500</v>
      </c>
      <c r="B102">
        <f t="shared" si="1"/>
        <v>-0.054896021115716655</v>
      </c>
      <c r="C102">
        <v>-0.06767483910165124</v>
      </c>
      <c r="D102">
        <v>-0.04464937666149826</v>
      </c>
      <c r="E102">
        <v>-0.052363847584000464</v>
      </c>
    </row>
    <row r="103" spans="1:5" ht="12.75">
      <c r="A103">
        <v>52750</v>
      </c>
      <c r="B103">
        <f t="shared" si="1"/>
        <v>-0.05395053834293773</v>
      </c>
      <c r="C103">
        <v>-0.06657196920515829</v>
      </c>
      <c r="D103">
        <v>-0.04392503966852615</v>
      </c>
      <c r="E103">
        <v>-0.05135460615512877</v>
      </c>
    </row>
    <row r="104" spans="1:5" ht="12.75">
      <c r="A104">
        <v>53000</v>
      </c>
      <c r="B104">
        <f t="shared" si="1"/>
        <v>-0.053014282882303955</v>
      </c>
      <c r="C104">
        <v>-0.06547932568529968</v>
      </c>
      <c r="D104">
        <v>-0.043206780404179836</v>
      </c>
      <c r="E104">
        <v>-0.05035674255743236</v>
      </c>
    </row>
    <row r="105" spans="1:5" ht="12.75">
      <c r="A105">
        <v>53250</v>
      </c>
      <c r="B105">
        <f t="shared" si="1"/>
        <v>-0.05208725473381537</v>
      </c>
      <c r="C105">
        <v>-0.06439690854207547</v>
      </c>
      <c r="D105">
        <v>-0.04249459886845935</v>
      </c>
      <c r="E105">
        <v>-0.04937025679091128</v>
      </c>
    </row>
    <row r="106" spans="1:5" ht="12.75">
      <c r="A106">
        <v>53500</v>
      </c>
      <c r="B106">
        <f t="shared" si="1"/>
        <v>-0.051169453897471906</v>
      </c>
      <c r="C106">
        <v>-0.06332471777548558</v>
      </c>
      <c r="D106">
        <v>-0.04178849506136464</v>
      </c>
      <c r="E106">
        <v>-0.04839514885556551</v>
      </c>
    </row>
    <row r="107" spans="1:5" ht="12.75">
      <c r="A107">
        <v>53750</v>
      </c>
      <c r="B107">
        <f t="shared" si="1"/>
        <v>-0.05026088037327362</v>
      </c>
      <c r="C107">
        <v>-0.06226275338553007</v>
      </c>
      <c r="D107">
        <v>-0.04108846898289575</v>
      </c>
      <c r="E107">
        <v>-0.04743141875139506</v>
      </c>
    </row>
    <row r="108" spans="1:5" ht="12.75">
      <c r="A108">
        <v>54000</v>
      </c>
      <c r="B108">
        <f t="shared" si="1"/>
        <v>-0.049361534161220515</v>
      </c>
      <c r="C108">
        <v>-0.06121101537220892</v>
      </c>
      <c r="D108">
        <v>-0.04039452063305264</v>
      </c>
      <c r="E108">
        <v>-0.04647906647839997</v>
      </c>
    </row>
    <row r="109" spans="1:5" ht="12.75">
      <c r="A109">
        <v>54250</v>
      </c>
      <c r="B109">
        <f t="shared" si="1"/>
        <v>-0.048471415261312545</v>
      </c>
      <c r="C109">
        <v>-0.06016950373552211</v>
      </c>
      <c r="D109">
        <v>-0.03970665001183537</v>
      </c>
      <c r="E109">
        <v>-0.045538092036580165</v>
      </c>
    </row>
    <row r="110" spans="1:5" ht="12.75">
      <c r="A110">
        <v>54500</v>
      </c>
      <c r="B110">
        <f t="shared" si="1"/>
        <v>-0.04759052367354973</v>
      </c>
      <c r="C110">
        <v>-0.05913821847546964</v>
      </c>
      <c r="D110">
        <v>-0.03902485711924388</v>
      </c>
      <c r="E110">
        <v>-0.04460849542593568</v>
      </c>
    </row>
    <row r="111" spans="1:5" ht="12.75">
      <c r="A111">
        <v>54750</v>
      </c>
      <c r="B111">
        <f t="shared" si="1"/>
        <v>-0.04671885939793211</v>
      </c>
      <c r="C111">
        <v>-0.05811715959205159</v>
      </c>
      <c r="D111">
        <v>-0.0383491419552782</v>
      </c>
      <c r="E111">
        <v>-0.04369027664646653</v>
      </c>
    </row>
    <row r="112" spans="1:5" ht="12.75">
      <c r="A112">
        <v>55000</v>
      </c>
      <c r="B112">
        <f t="shared" si="1"/>
        <v>-0.045856422434459615</v>
      </c>
      <c r="C112">
        <v>-0.05710632708526782</v>
      </c>
      <c r="D112">
        <v>-0.037679504519938345</v>
      </c>
      <c r="E112">
        <v>-0.04278343569817268</v>
      </c>
    </row>
    <row r="113" spans="1:5" ht="12.75">
      <c r="A113">
        <v>55250</v>
      </c>
      <c r="B113">
        <f t="shared" si="1"/>
        <v>-0.04500308721378788</v>
      </c>
      <c r="C113">
        <v>-0.05610534424708517</v>
      </c>
      <c r="D113">
        <v>-0.03701594481322429</v>
      </c>
      <c r="E113">
        <v>-0.04188797258105419</v>
      </c>
    </row>
    <row r="114" spans="1:5" ht="12.75">
      <c r="A114">
        <v>55500</v>
      </c>
      <c r="B114">
        <f t="shared" si="1"/>
        <v>-0.044158719786088735</v>
      </c>
      <c r="C114">
        <v>-0.05511380922801923</v>
      </c>
      <c r="D114">
        <v>-0.036358462835136</v>
      </c>
      <c r="E114">
        <v>-0.04100388729511098</v>
      </c>
    </row>
    <row r="115" spans="1:5" ht="12.75">
      <c r="A115">
        <v>55750</v>
      </c>
      <c r="B115">
        <f t="shared" si="1"/>
        <v>-0.04332332011669383</v>
      </c>
      <c r="C115">
        <v>-0.054131721924064825</v>
      </c>
      <c r="D115">
        <v>-0.03570705858567356</v>
      </c>
      <c r="E115">
        <v>-0.04013117984034311</v>
      </c>
    </row>
    <row r="116" spans="1:5" ht="12.75">
      <c r="A116">
        <v>56000</v>
      </c>
      <c r="B116">
        <f t="shared" si="1"/>
        <v>-0.04249677434621888</v>
      </c>
      <c r="C116">
        <v>-0.053159072864444434</v>
      </c>
      <c r="D116">
        <v>-0.035061399957461666</v>
      </c>
      <c r="E116">
        <v>-0.03926985021675054</v>
      </c>
    </row>
    <row r="117" spans="1:5" ht="12.75">
      <c r="A117">
        <v>56250</v>
      </c>
      <c r="B117">
        <f t="shared" si="1"/>
        <v>-0.04167872740491729</v>
      </c>
      <c r="C117">
        <v>-0.052195264781103895</v>
      </c>
      <c r="D117">
        <v>-0.03442101900931465</v>
      </c>
      <c r="E117">
        <v>-0.03841989842433331</v>
      </c>
    </row>
    <row r="118" spans="1:5" ht="12.75">
      <c r="A118">
        <v>56500</v>
      </c>
      <c r="B118">
        <f t="shared" si="1"/>
        <v>-0.04086905964108349</v>
      </c>
      <c r="C118">
        <v>-0.05123994202429366</v>
      </c>
      <c r="D118">
        <v>-0.033785912435865414</v>
      </c>
      <c r="E118">
        <v>-0.0375813244630914</v>
      </c>
    </row>
    <row r="119" spans="1:5" ht="12.75">
      <c r="A119">
        <v>56750</v>
      </c>
      <c r="B119">
        <f t="shared" si="1"/>
        <v>-0.0400677643852388</v>
      </c>
      <c r="C119">
        <v>-0.0502930845855776</v>
      </c>
      <c r="D119">
        <v>-0.033156080237114006</v>
      </c>
      <c r="E119">
        <v>-0.036754128333024785</v>
      </c>
    </row>
    <row r="120" spans="1:5" ht="12.75">
      <c r="A120">
        <v>57000</v>
      </c>
      <c r="B120">
        <f t="shared" si="1"/>
        <v>-0.03927469122343805</v>
      </c>
      <c r="C120">
        <v>-0.04935430805478035</v>
      </c>
      <c r="D120">
        <v>-0.032531522413060406</v>
      </c>
      <c r="E120">
        <v>-0.0359382432024734</v>
      </c>
    </row>
    <row r="121" spans="1:5" ht="12.75">
      <c r="A121">
        <v>57250</v>
      </c>
      <c r="B121">
        <f t="shared" si="1"/>
        <v>-0.03848963479427584</v>
      </c>
      <c r="C121">
        <v>-0.04842346516201615</v>
      </c>
      <c r="D121">
        <v>-0.031912238963704646</v>
      </c>
      <c r="E121">
        <v>-0.03513320025710672</v>
      </c>
    </row>
    <row r="122" spans="1:5" ht="12.75">
      <c r="A122">
        <v>57500</v>
      </c>
      <c r="B122">
        <f t="shared" si="1"/>
        <v>-0.03771230364536434</v>
      </c>
      <c r="C122">
        <v>-0.047500555907284955</v>
      </c>
      <c r="D122">
        <v>-0.03129822988904669</v>
      </c>
      <c r="E122">
        <v>-0.034338125139761366</v>
      </c>
    </row>
    <row r="123" spans="1:5" ht="12.75">
      <c r="A123">
        <v>57750</v>
      </c>
      <c r="B123">
        <f t="shared" si="1"/>
        <v>-0.03694268735461316</v>
      </c>
      <c r="C123">
        <v>-0.04658558029058682</v>
      </c>
      <c r="D123">
        <v>-0.030689495189086546</v>
      </c>
      <c r="E123">
        <v>-0.03355298658416611</v>
      </c>
    </row>
    <row r="124" spans="1:5" ht="12.75">
      <c r="A124">
        <v>58000</v>
      </c>
      <c r="B124">
        <f t="shared" si="1"/>
        <v>-0.036180785922022285</v>
      </c>
      <c r="C124">
        <v>-0.045678538311921715</v>
      </c>
      <c r="D124">
        <v>-0.03008603486382423</v>
      </c>
      <c r="E124">
        <v>-0.0327777845903209</v>
      </c>
    </row>
    <row r="125" spans="1:5" ht="12.75">
      <c r="A125">
        <v>58250</v>
      </c>
      <c r="B125">
        <f t="shared" si="1"/>
        <v>-0.03542659934759174</v>
      </c>
      <c r="C125">
        <v>-0.04477942997128967</v>
      </c>
      <c r="D125">
        <v>-0.02948784891325974</v>
      </c>
      <c r="E125">
        <v>-0.03201251915822582</v>
      </c>
    </row>
    <row r="126" spans="1:5" ht="12.75">
      <c r="A126">
        <v>58500</v>
      </c>
      <c r="B126">
        <f t="shared" si="1"/>
        <v>-0.0346801276313215</v>
      </c>
      <c r="C126">
        <v>-0.04388825526869065</v>
      </c>
      <c r="D126">
        <v>-0.028894937337393053</v>
      </c>
      <c r="E126">
        <v>-0.0312571902878808</v>
      </c>
    </row>
    <row r="127" spans="1:5" ht="12.75">
      <c r="A127">
        <v>58750</v>
      </c>
      <c r="B127">
        <f t="shared" si="1"/>
        <v>-0.033941370773211556</v>
      </c>
      <c r="C127">
        <v>-0.04300501420412464</v>
      </c>
      <c r="D127">
        <v>-0.028307300136224168</v>
      </c>
      <c r="E127">
        <v>-0.030511797979285854</v>
      </c>
    </row>
    <row r="128" spans="1:5" ht="12.75">
      <c r="A128">
        <v>59000</v>
      </c>
      <c r="B128">
        <f t="shared" si="1"/>
        <v>-0.033210328773261945</v>
      </c>
      <c r="C128">
        <v>-0.0421297067775917</v>
      </c>
      <c r="D128">
        <v>-0.027724937309753145</v>
      </c>
      <c r="E128">
        <v>-0.029776342232440977</v>
      </c>
    </row>
    <row r="129" spans="1:5" ht="12.75">
      <c r="A129">
        <v>59250</v>
      </c>
      <c r="B129">
        <f t="shared" si="1"/>
        <v>-0.032487001631472626</v>
      </c>
      <c r="C129">
        <v>-0.04126233298909176</v>
      </c>
      <c r="D129">
        <v>-0.0271478488579799</v>
      </c>
      <c r="E129">
        <v>-0.029050823047346217</v>
      </c>
    </row>
    <row r="130" spans="1:5" ht="12.75">
      <c r="A130">
        <v>59500</v>
      </c>
      <c r="B130">
        <f t="shared" si="1"/>
        <v>-0.03177135091728005</v>
      </c>
      <c r="C130">
        <v>-0.040402892838624915</v>
      </c>
      <c r="D130">
        <v>-0.026575948289140783</v>
      </c>
      <c r="E130">
        <v>-0.028335211624074447</v>
      </c>
    </row>
    <row r="131" spans="1:5" ht="12.75">
      <c r="A131">
        <v>59750</v>
      </c>
      <c r="B131">
        <f t="shared" si="1"/>
        <v>-0.03106295764816175</v>
      </c>
      <c r="C131">
        <v>-0.03955097861956429</v>
      </c>
      <c r="D131">
        <v>-0.02600875238031212</v>
      </c>
      <c r="E131">
        <v>-0.027629141944608835</v>
      </c>
    </row>
    <row r="132" spans="1:5" ht="12.75">
      <c r="A132">
        <v>60000</v>
      </c>
      <c r="B132">
        <f t="shared" si="1"/>
        <v>-0.030361467310722322</v>
      </c>
      <c r="C132">
        <v>-0.03870610448030526</v>
      </c>
      <c r="D132">
        <v>-0.025446186269191318</v>
      </c>
      <c r="E132">
        <v>-0.026932111182670387</v>
      </c>
    </row>
    <row r="133" spans="1:5" ht="12.75">
      <c r="A133">
        <v>60250</v>
      </c>
      <c r="B133">
        <f t="shared" si="1"/>
        <v>-0.029666847642175156</v>
      </c>
      <c r="C133">
        <v>-0.0378682695065</v>
      </c>
      <c r="D133">
        <v>-0.024888249955778402</v>
      </c>
      <c r="E133">
        <v>-0.02624402346424708</v>
      </c>
    </row>
    <row r="134" spans="1:5" ht="12.75">
      <c r="A134">
        <v>60500</v>
      </c>
      <c r="B134">
        <f t="shared" si="1"/>
        <v>-0.02897908233551452</v>
      </c>
      <c r="C134">
        <v>-0.03703742477713122</v>
      </c>
      <c r="D134">
        <v>-0.024334943440073368</v>
      </c>
      <c r="E134">
        <v>-0.02556487878933897</v>
      </c>
    </row>
    <row r="135" spans="1:5" ht="12.75">
      <c r="A135">
        <v>60750</v>
      </c>
      <c r="B135">
        <f t="shared" si="1"/>
        <v>-0.028298056008500914</v>
      </c>
      <c r="C135">
        <v>-0.03621322414548049</v>
      </c>
      <c r="D135">
        <v>-0.023786266722076243</v>
      </c>
      <c r="E135">
        <v>-0.024894677157946007</v>
      </c>
    </row>
    <row r="136" spans="1:5" ht="12.75">
      <c r="A136">
        <v>61000</v>
      </c>
      <c r="B136">
        <f t="shared" si="1"/>
        <v>-0.02762374501539928</v>
      </c>
      <c r="C136">
        <v>-0.035395600160492625</v>
      </c>
      <c r="D136">
        <v>-0.023242219801786982</v>
      </c>
      <c r="E136">
        <v>-0.024233415083918224</v>
      </c>
    </row>
    <row r="137" spans="1:5" ht="12.75">
      <c r="A137">
        <v>61250</v>
      </c>
      <c r="B137">
        <f t="shared" si="1"/>
        <v>-0.02695598458148225</v>
      </c>
      <c r="C137">
        <v>-0.03458440259642459</v>
      </c>
      <c r="D137">
        <v>-0.02270272086197043</v>
      </c>
      <c r="E137">
        <v>-0.023580830286051718</v>
      </c>
    </row>
    <row r="138" spans="1:5" ht="12.75">
      <c r="A138">
        <v>61500</v>
      </c>
      <c r="B138">
        <f t="shared" si="1"/>
        <v>-0.026294347200710028</v>
      </c>
      <c r="C138">
        <v>-0.03377877343352365</v>
      </c>
      <c r="D138">
        <v>-0.022167670064520306</v>
      </c>
      <c r="E138">
        <v>-0.02293659810408613</v>
      </c>
    </row>
    <row r="139" spans="1:5" ht="12.75">
      <c r="A139">
        <v>61750</v>
      </c>
      <c r="B139">
        <f aca="true" t="shared" si="2" ref="B139:B202">AVERAGE(C139:E139)</f>
        <v>-0.02563878450123001</v>
      </c>
      <c r="C139">
        <v>-0.03297857665567189</v>
      </c>
      <c r="D139">
        <v>-0.021637067167963122</v>
      </c>
      <c r="E139">
        <v>-0.022300709680055007</v>
      </c>
    </row>
    <row r="140" spans="1:5" ht="12.75">
      <c r="A140">
        <v>62000</v>
      </c>
      <c r="B140">
        <f t="shared" si="2"/>
        <v>-0.02498925950606927</v>
      </c>
      <c r="C140">
        <v>-0.03218381226286933</v>
      </c>
      <c r="D140">
        <v>-0.021110801241380168</v>
      </c>
      <c r="E140">
        <v>-0.021673165013958315</v>
      </c>
    </row>
    <row r="141" spans="1:5" ht="12.75">
      <c r="A141">
        <v>62250</v>
      </c>
      <c r="B141">
        <f t="shared" si="2"/>
        <v>-0.024345676917488113</v>
      </c>
      <c r="C141">
        <v>-0.03139448025511598</v>
      </c>
      <c r="D141">
        <v>-0.0205885863915523</v>
      </c>
      <c r="E141">
        <v>-0.02105396410579606</v>
      </c>
    </row>
    <row r="142" spans="1:5" ht="12.75">
      <c r="A142">
        <v>62500</v>
      </c>
      <c r="B142">
        <f t="shared" si="2"/>
        <v>-0.02370803190021653</v>
      </c>
      <c r="C142">
        <v>-0.03061058063241184</v>
      </c>
      <c r="D142">
        <v>-0.02007040811266951</v>
      </c>
      <c r="E142">
        <v>-0.020443106955568245</v>
      </c>
    </row>
    <row r="143" spans="1:5" ht="12.75">
      <c r="A143">
        <v>62750</v>
      </c>
      <c r="B143">
        <f t="shared" si="2"/>
        <v>-0.02307632445425452</v>
      </c>
      <c r="C143">
        <v>-0.029832113394756915</v>
      </c>
      <c r="D143">
        <v>-0.019556266404731786</v>
      </c>
      <c r="E143">
        <v>-0.019840593563274868</v>
      </c>
    </row>
    <row r="144" spans="1:5" ht="12.75">
      <c r="A144">
        <v>63000</v>
      </c>
      <c r="B144">
        <f t="shared" si="2"/>
        <v>-0.022450554579602076</v>
      </c>
      <c r="C144">
        <v>-0.029059078542151166</v>
      </c>
      <c r="D144">
        <v>-0.01904616126773914</v>
      </c>
      <c r="E144">
        <v>-0.019246423928915925</v>
      </c>
    </row>
    <row r="145" spans="1:5" ht="12.75">
      <c r="A145">
        <v>63250</v>
      </c>
      <c r="B145">
        <f t="shared" si="2"/>
        <v>-0.021830718008621127</v>
      </c>
      <c r="C145">
        <v>-0.028291476074594646</v>
      </c>
      <c r="D145">
        <v>-0.01854009270169152</v>
      </c>
      <c r="E145">
        <v>-0.01866058524957721</v>
      </c>
    </row>
    <row r="146" spans="1:5" ht="12.75">
      <c r="A146">
        <v>63500</v>
      </c>
      <c r="B146">
        <f t="shared" si="2"/>
        <v>-0.021216722648353697</v>
      </c>
      <c r="C146">
        <v>-0.02752930599208733</v>
      </c>
      <c r="D146">
        <v>-0.018038060706589004</v>
      </c>
      <c r="E146">
        <v>-0.018082801246384755</v>
      </c>
    </row>
    <row r="147" spans="1:5" ht="12.75">
      <c r="A147">
        <v>63750</v>
      </c>
      <c r="B147">
        <f t="shared" si="2"/>
        <v>-0.0206085120963256</v>
      </c>
      <c r="C147">
        <v>-0.026772568294629207</v>
      </c>
      <c r="D147">
        <v>-0.01754006528243152</v>
      </c>
      <c r="E147">
        <v>-0.01751290271191607</v>
      </c>
    </row>
    <row r="148" spans="1:5" ht="12.75">
      <c r="A148">
        <v>64000</v>
      </c>
      <c r="B148">
        <f t="shared" si="2"/>
        <v>-0.02000608635253684</v>
      </c>
      <c r="C148">
        <v>-0.026021262982220305</v>
      </c>
      <c r="D148">
        <v>-0.017046106429219113</v>
      </c>
      <c r="E148">
        <v>-0.016950889646171103</v>
      </c>
    </row>
    <row r="149" spans="1:5" ht="12.75">
      <c r="A149">
        <v>64250</v>
      </c>
      <c r="B149">
        <f t="shared" si="2"/>
        <v>-0.019409444910170038</v>
      </c>
      <c r="C149">
        <v>-0.025275390054860618</v>
      </c>
      <c r="D149">
        <v>-0.016556184146951754</v>
      </c>
      <c r="E149">
        <v>-0.016396760528697745</v>
      </c>
    </row>
    <row r="150" spans="1:5" ht="12.75">
      <c r="A150">
        <v>64500</v>
      </c>
      <c r="B150">
        <f t="shared" si="2"/>
        <v>-0.018818534174873544</v>
      </c>
      <c r="C150">
        <v>-0.0245349495125501</v>
      </c>
      <c r="D150">
        <v>-0.016070298435629488</v>
      </c>
      <c r="E150">
        <v>-0.015850354576441048</v>
      </c>
    </row>
    <row r="151" spans="1:5" ht="12.75">
      <c r="A151">
        <v>64750</v>
      </c>
      <c r="B151">
        <f t="shared" si="2"/>
        <v>-0.018233318145298816</v>
      </c>
      <c r="C151">
        <v>-0.02379994135528883</v>
      </c>
      <c r="D151">
        <v>-0.015588449295252263</v>
      </c>
      <c r="E151">
        <v>-0.015311563785355357</v>
      </c>
    </row>
    <row r="152" spans="1:5" ht="12.75">
      <c r="A152">
        <v>65000</v>
      </c>
      <c r="B152">
        <f t="shared" si="2"/>
        <v>-0.01765379682144585</v>
      </c>
      <c r="C152">
        <v>-0.023070365583076728</v>
      </c>
      <c r="D152">
        <v>-0.015110636725820107</v>
      </c>
      <c r="E152">
        <v>-0.01478038815544072</v>
      </c>
    </row>
    <row r="153" spans="1:5" ht="12.75">
      <c r="A153">
        <v>65250</v>
      </c>
      <c r="B153">
        <f t="shared" si="2"/>
        <v>-0.017079970203314646</v>
      </c>
      <c r="C153">
        <v>-0.02234622219591384</v>
      </c>
      <c r="D153">
        <v>-0.01463686072733301</v>
      </c>
      <c r="E153">
        <v>-0.014256827686697098</v>
      </c>
    </row>
    <row r="154" spans="1:5" ht="12.75">
      <c r="A154">
        <v>65500</v>
      </c>
      <c r="B154">
        <f t="shared" si="2"/>
        <v>-0.016511838290905217</v>
      </c>
      <c r="C154">
        <v>-0.021627511193800165</v>
      </c>
      <c r="D154">
        <v>-0.014167121299790988</v>
      </c>
      <c r="E154">
        <v>-0.013740882379124495</v>
      </c>
    </row>
    <row r="155" spans="1:5" ht="12.75">
      <c r="A155">
        <v>65750</v>
      </c>
      <c r="B155">
        <f t="shared" si="2"/>
        <v>-0.015949401084217555</v>
      </c>
      <c r="C155">
        <v>-0.020914232576735706</v>
      </c>
      <c r="D155">
        <v>-0.013701418443194039</v>
      </c>
      <c r="E155">
        <v>-0.013232552232722926</v>
      </c>
    </row>
    <row r="156" spans="1:5" ht="12.75">
      <c r="A156">
        <v>66000</v>
      </c>
      <c r="B156">
        <f t="shared" si="2"/>
        <v>-0.015392650857164661</v>
      </c>
      <c r="C156">
        <v>-0.020206386344720422</v>
      </c>
      <c r="D156">
        <v>-0.01323975215754213</v>
      </c>
      <c r="E156">
        <v>-0.012731814069231438</v>
      </c>
    </row>
    <row r="157" spans="1:5" ht="12.75">
      <c r="A157">
        <v>66250</v>
      </c>
      <c r="B157">
        <f t="shared" si="2"/>
        <v>-0.01484146548213249</v>
      </c>
      <c r="C157">
        <v>-0.01950397249775436</v>
      </c>
      <c r="D157">
        <v>-0.012782122442835275</v>
      </c>
      <c r="E157">
        <v>-0.01223830150580783</v>
      </c>
    </row>
    <row r="158" spans="1:5" ht="12.75">
      <c r="A158">
        <v>66500</v>
      </c>
      <c r="B158">
        <f t="shared" si="2"/>
        <v>-0.01429580277252767</v>
      </c>
      <c r="C158">
        <v>-0.0188069910358375</v>
      </c>
      <c r="D158">
        <v>-0.012328529299073522</v>
      </c>
      <c r="E158">
        <v>-0.01175188798267199</v>
      </c>
    </row>
    <row r="159" spans="1:5" ht="12.75">
      <c r="A159">
        <v>66750</v>
      </c>
      <c r="B159">
        <f t="shared" si="2"/>
        <v>-0.013755599390019836</v>
      </c>
      <c r="C159">
        <v>-0.018115441958969847</v>
      </c>
      <c r="D159">
        <v>-0.011878782711265837</v>
      </c>
      <c r="E159">
        <v>-0.01127257349982382</v>
      </c>
    </row>
    <row r="160" spans="1:5" ht="12.75">
      <c r="A160">
        <v>67000</v>
      </c>
      <c r="B160">
        <f t="shared" si="2"/>
        <v>-0.013220643195121758</v>
      </c>
      <c r="C160">
        <v>-0.017429325267151418</v>
      </c>
      <c r="D160">
        <v>-0.011432407351013722</v>
      </c>
      <c r="E160">
        <v>-0.010800196967200137</v>
      </c>
    </row>
    <row r="161" spans="1:5" ht="12.75">
      <c r="A161">
        <v>67250</v>
      </c>
      <c r="B161">
        <f t="shared" si="2"/>
        <v>-0.0126907238371736</v>
      </c>
      <c r="C161">
        <v>-0.016748640960382172</v>
      </c>
      <c r="D161">
        <v>-0.0109892915965376</v>
      </c>
      <c r="E161">
        <v>-0.010334238954601027</v>
      </c>
    </row>
    <row r="162" spans="1:5" ht="12.75">
      <c r="A162">
        <v>67500</v>
      </c>
      <c r="B162">
        <f t="shared" si="2"/>
        <v>-0.012165753531321826</v>
      </c>
      <c r="C162">
        <v>-0.01607338903866213</v>
      </c>
      <c r="D162">
        <v>-0.01054921154665798</v>
      </c>
      <c r="E162">
        <v>-0.009874660008645373</v>
      </c>
    </row>
    <row r="163" spans="1:5" ht="12.75">
      <c r="A163">
        <v>67750</v>
      </c>
      <c r="B163">
        <f t="shared" si="2"/>
        <v>-0.011645728667751027</v>
      </c>
      <c r="C163">
        <v>-0.015403569501991298</v>
      </c>
      <c r="D163">
        <v>-0.010112156371928678</v>
      </c>
      <c r="E163">
        <v>-0.009421460129333106</v>
      </c>
    </row>
    <row r="164" spans="1:5" ht="12.75">
      <c r="A164">
        <v>68000</v>
      </c>
      <c r="B164">
        <f t="shared" si="2"/>
        <v>-0.011130649246461205</v>
      </c>
      <c r="C164">
        <v>-0.014739182350369688</v>
      </c>
      <c r="D164">
        <v>-0.009678126072349661</v>
      </c>
      <c r="E164">
        <v>-0.008974639316664267</v>
      </c>
    </row>
    <row r="165" spans="1:5" ht="12.75">
      <c r="A165">
        <v>68250</v>
      </c>
      <c r="B165">
        <f t="shared" si="2"/>
        <v>-0.010620515267452349</v>
      </c>
      <c r="C165">
        <v>-0.014080227583797277</v>
      </c>
      <c r="D165">
        <v>-0.00924712064792093</v>
      </c>
      <c r="E165">
        <v>-0.008534197570638844</v>
      </c>
    </row>
    <row r="166" spans="1:5" ht="12.75">
      <c r="A166">
        <v>68500</v>
      </c>
      <c r="B166">
        <f t="shared" si="2"/>
        <v>-0.010115325092947736</v>
      </c>
      <c r="C166">
        <v>-0.013426705202274049</v>
      </c>
      <c r="D166">
        <v>-0.00881913518531235</v>
      </c>
      <c r="E166">
        <v>-0.008100134891256813</v>
      </c>
    </row>
    <row r="167" spans="1:5" ht="12.75">
      <c r="A167">
        <v>68750</v>
      </c>
      <c r="B167">
        <f t="shared" si="2"/>
        <v>-0.009614999643024634</v>
      </c>
      <c r="C167">
        <v>-0.012778447780437342</v>
      </c>
      <c r="D167">
        <v>-0.008394099870118339</v>
      </c>
      <c r="E167">
        <v>-0.007672451278518224</v>
      </c>
    </row>
    <row r="168" spans="1:5" ht="12.75">
      <c r="A168">
        <v>69000</v>
      </c>
      <c r="B168">
        <f t="shared" si="2"/>
        <v>-0.00911935577035762</v>
      </c>
      <c r="C168">
        <v>-0.012134928554286958</v>
      </c>
      <c r="D168">
        <v>-0.007971992024362872</v>
      </c>
      <c r="E168">
        <v>-0.007251146732423032</v>
      </c>
    </row>
    <row r="169" spans="1:5" ht="12.75">
      <c r="A169">
        <v>69250</v>
      </c>
      <c r="B169">
        <f t="shared" si="2"/>
        <v>-0.008628380661348372</v>
      </c>
      <c r="C169">
        <v>-0.01149610908302785</v>
      </c>
      <c r="D169">
        <v>-0.007552811648045966</v>
      </c>
      <c r="E169">
        <v>-0.0068362212529712975</v>
      </c>
    </row>
    <row r="170" spans="1:5" ht="12.75">
      <c r="A170">
        <v>69500</v>
      </c>
      <c r="B170">
        <f t="shared" si="2"/>
        <v>-0.008142074315996815</v>
      </c>
      <c r="C170">
        <v>-0.010861989366659915</v>
      </c>
      <c r="D170">
        <v>-0.007136558741167605</v>
      </c>
      <c r="E170">
        <v>-0.006427674840162922</v>
      </c>
    </row>
    <row r="171" spans="1:5" ht="12.75">
      <c r="A171">
        <v>69750</v>
      </c>
      <c r="B171">
        <f t="shared" si="2"/>
        <v>-0.007660436734303004</v>
      </c>
      <c r="C171">
        <v>-0.010232569405183217</v>
      </c>
      <c r="D171">
        <v>-0.00672323330372782</v>
      </c>
      <c r="E171">
        <v>-0.006025507493997976</v>
      </c>
    </row>
    <row r="172" spans="1:5" ht="12.75">
      <c r="A172">
        <v>70000</v>
      </c>
      <c r="B172">
        <f t="shared" si="2"/>
        <v>-0.007183467916266919</v>
      </c>
      <c r="C172">
        <v>-0.00960784919859774</v>
      </c>
      <c r="D172">
        <v>-0.006312835335726579</v>
      </c>
      <c r="E172">
        <v>-0.005629719214476439</v>
      </c>
    </row>
    <row r="173" spans="1:5" ht="12.75">
      <c r="A173">
        <v>70250</v>
      </c>
      <c r="B173">
        <f t="shared" si="2"/>
        <v>-0.006711167861888561</v>
      </c>
      <c r="C173">
        <v>-0.008987828746903452</v>
      </c>
      <c r="D173">
        <v>-0.005905364837163911</v>
      </c>
      <c r="E173">
        <v>-0.00524031000159832</v>
      </c>
    </row>
    <row r="174" spans="1:5" ht="12.75">
      <c r="A174">
        <v>70500</v>
      </c>
      <c r="B174">
        <f t="shared" si="2"/>
        <v>-0.0062435365711679515</v>
      </c>
      <c r="C174">
        <v>-0.008372508050100425</v>
      </c>
      <c r="D174">
        <v>-0.005500821808039809</v>
      </c>
      <c r="E174">
        <v>-0.004857279855363623</v>
      </c>
    </row>
    <row r="175" spans="1:5" ht="12.75">
      <c r="A175">
        <v>70750</v>
      </c>
      <c r="B175">
        <f t="shared" si="2"/>
        <v>-0.005780562931443543</v>
      </c>
      <c r="C175">
        <v>-0.007761853770204021</v>
      </c>
      <c r="D175">
        <v>-0.005099206248354245</v>
      </c>
      <c r="E175">
        <v>-0.004480628775772364</v>
      </c>
    </row>
    <row r="176" spans="1:5" ht="12.75">
      <c r="A176">
        <v>71000</v>
      </c>
      <c r="B176">
        <f t="shared" si="2"/>
        <v>-0.00532216833165897</v>
      </c>
      <c r="C176">
        <v>-0.007155630074045182</v>
      </c>
      <c r="D176">
        <v>-0.0047005181581072555</v>
      </c>
      <c r="E176">
        <v>-0.004110356762824472</v>
      </c>
    </row>
    <row r="177" spans="1:5" ht="12.75">
      <c r="A177">
        <v>71250</v>
      </c>
      <c r="B177">
        <f t="shared" si="2"/>
        <v>-0.004868337456601173</v>
      </c>
      <c r="C177">
        <v>-0.006553791015984668</v>
      </c>
      <c r="D177">
        <v>-0.004304757537298822</v>
      </c>
      <c r="E177">
        <v>-0.003746463816520028</v>
      </c>
    </row>
    <row r="178" spans="1:5" ht="12.75">
      <c r="A178">
        <v>71500</v>
      </c>
      <c r="B178">
        <f t="shared" si="2"/>
        <v>-0.004419070306270132</v>
      </c>
      <c r="C178">
        <v>-0.005956336596022499</v>
      </c>
      <c r="D178">
        <v>-0.003911924385928931</v>
      </c>
      <c r="E178">
        <v>-0.0033889499368589676</v>
      </c>
    </row>
    <row r="179" spans="1:5" ht="12.75">
      <c r="A179">
        <v>71750</v>
      </c>
      <c r="B179">
        <f t="shared" si="2"/>
        <v>-0.003974366880665872</v>
      </c>
      <c r="C179">
        <v>-0.005363266814158641</v>
      </c>
      <c r="D179">
        <v>-0.0035220187039976293</v>
      </c>
      <c r="E179">
        <v>-0.003037815123841344</v>
      </c>
    </row>
    <row r="180" spans="1:5" ht="12.75">
      <c r="A180">
        <v>72000</v>
      </c>
      <c r="B180">
        <f t="shared" si="2"/>
        <v>-0.0035342234105806424</v>
      </c>
      <c r="C180">
        <v>-0.004774581670393129</v>
      </c>
      <c r="D180">
        <v>-0.0031350404915048663</v>
      </c>
      <c r="E180">
        <v>-0.002693048069843933</v>
      </c>
    </row>
    <row r="181" spans="1:5" ht="12.75">
      <c r="A181">
        <v>72250</v>
      </c>
      <c r="B181">
        <f t="shared" si="2"/>
        <v>-0.003098466642709565</v>
      </c>
      <c r="C181">
        <v>-0.004190281164725926</v>
      </c>
      <c r="D181">
        <v>-0.002750989748450659</v>
      </c>
      <c r="E181">
        <v>-0.002354129014952108</v>
      </c>
    </row>
    <row r="182" spans="1:5" ht="12.75">
      <c r="A182">
        <v>72500</v>
      </c>
      <c r="B182">
        <f t="shared" si="2"/>
        <v>-0.002666872199247716</v>
      </c>
      <c r="C182">
        <v>-0.00361036529715708</v>
      </c>
      <c r="D182">
        <v>-0.002369866474835019</v>
      </c>
      <c r="E182">
        <v>-0.002020384825751047</v>
      </c>
    </row>
    <row r="183" spans="1:5" ht="12.75">
      <c r="A183">
        <v>72750</v>
      </c>
      <c r="B183">
        <f t="shared" si="2"/>
        <v>-0.002239398422278253</v>
      </c>
      <c r="C183">
        <v>-0.0030348340676865423</v>
      </c>
      <c r="D183">
        <v>-0.001991670670657928</v>
      </c>
      <c r="E183">
        <v>-0.0016916905284902893</v>
      </c>
    </row>
    <row r="184" spans="1:5" ht="12.75">
      <c r="A184">
        <v>73000</v>
      </c>
      <c r="B184">
        <f t="shared" si="2"/>
        <v>-0.0018160453118012052</v>
      </c>
      <c r="C184">
        <v>-0.002463687476314366</v>
      </c>
      <c r="D184">
        <v>-0.0016164023359194178</v>
      </c>
      <c r="E184">
        <v>-0.001368046123169831</v>
      </c>
    </row>
    <row r="185" spans="1:5" ht="12.75">
      <c r="A185">
        <v>73250</v>
      </c>
      <c r="B185">
        <f t="shared" si="2"/>
        <v>-0.0013968128678165529</v>
      </c>
      <c r="C185">
        <v>-0.0018969255230404916</v>
      </c>
      <c r="D185">
        <v>-0.001244061470619464</v>
      </c>
      <c r="E185">
        <v>-0.0010494516097897027</v>
      </c>
    </row>
    <row r="186" spans="1:5" ht="12.75">
      <c r="A186">
        <v>73500</v>
      </c>
      <c r="B186">
        <f t="shared" si="2"/>
        <v>-0.0009816101389627113</v>
      </c>
      <c r="C186">
        <v>-0.0013343291355237292</v>
      </c>
      <c r="D186">
        <v>-0.0008746480747580549</v>
      </c>
      <c r="E186">
        <v>-0.0007358532066063499</v>
      </c>
    </row>
    <row r="187" spans="1:5" ht="12.75">
      <c r="A187">
        <v>73750</v>
      </c>
      <c r="B187">
        <f t="shared" si="2"/>
        <v>-0.0005701114493607957</v>
      </c>
      <c r="C187">
        <v>-0.0007756306150228987</v>
      </c>
      <c r="D187">
        <v>-0.0005081621483352099</v>
      </c>
      <c r="E187">
        <v>-0.00042654158472427866</v>
      </c>
    </row>
    <row r="188" spans="1:5" ht="12.75">
      <c r="A188">
        <v>74000</v>
      </c>
      <c r="B188">
        <f t="shared" si="2"/>
        <v>-0.00016218411946655506</v>
      </c>
      <c r="C188">
        <v>-0.00022082930504484685</v>
      </c>
      <c r="D188">
        <v>-0.00014460369135092384</v>
      </c>
      <c r="E188">
        <v>-0.0001211193620038945</v>
      </c>
    </row>
    <row r="189" spans="1:5" ht="12.75">
      <c r="A189">
        <v>74250</v>
      </c>
      <c r="B189">
        <f t="shared" si="2"/>
        <v>0.00024221928324154278</v>
      </c>
      <c r="C189">
        <v>0.00033007479441042907</v>
      </c>
      <c r="D189">
        <v>0.00021602729619479662</v>
      </c>
      <c r="E189">
        <v>0.00018055575911940261</v>
      </c>
    </row>
    <row r="190" spans="1:5" ht="12.75">
      <c r="A190">
        <v>74500</v>
      </c>
      <c r="B190">
        <f t="shared" si="2"/>
        <v>0.0006430996994221031</v>
      </c>
      <c r="C190">
        <v>0.0008770816833429439</v>
      </c>
      <c r="D190">
        <v>0.0005737308143019592</v>
      </c>
      <c r="E190">
        <v>0.000478486600621406</v>
      </c>
    </row>
    <row r="191" spans="1:5" ht="12.75">
      <c r="A191">
        <v>74750</v>
      </c>
      <c r="B191">
        <f t="shared" si="2"/>
        <v>0.0010405089010458604</v>
      </c>
      <c r="C191">
        <v>0.0014201913617526813</v>
      </c>
      <c r="D191">
        <v>0.0009285068629705856</v>
      </c>
      <c r="E191">
        <v>0.000772828478414315</v>
      </c>
    </row>
    <row r="192" spans="1:5" ht="12.75">
      <c r="A192">
        <v>75000</v>
      </c>
      <c r="B192">
        <f t="shared" si="2"/>
        <v>0.0014346636226255452</v>
      </c>
      <c r="C192">
        <v>0.0019595160368029514</v>
      </c>
      <c r="D192">
        <v>0.0012803554422006283</v>
      </c>
      <c r="E192">
        <v>0.0010641193888730562</v>
      </c>
    </row>
    <row r="193" spans="1:5" ht="12.75">
      <c r="A193">
        <v>75250</v>
      </c>
      <c r="B193">
        <f t="shared" si="2"/>
        <v>0.0018257532122601958</v>
      </c>
      <c r="C193">
        <v>0.0024955247729854424</v>
      </c>
      <c r="D193">
        <v>0.0016292765519921183</v>
      </c>
      <c r="E193">
        <v>0.001352458311803027</v>
      </c>
    </row>
    <row r="194" spans="1:5" ht="12.75">
      <c r="A194">
        <v>75500</v>
      </c>
      <c r="B194">
        <f t="shared" si="2"/>
        <v>0.0022138516029510114</v>
      </c>
      <c r="C194">
        <v>0.0030284073113513187</v>
      </c>
      <c r="D194">
        <v>0.001975270192345045</v>
      </c>
      <c r="E194">
        <v>0.0016378773051566704</v>
      </c>
    </row>
    <row r="195" spans="1:5" ht="12.75">
      <c r="A195">
        <v>75750</v>
      </c>
      <c r="B195">
        <f t="shared" si="2"/>
        <v>0.002599107055136744</v>
      </c>
      <c r="C195">
        <v>0.0035585894408320866</v>
      </c>
      <c r="D195">
        <v>0.0023183363632594176</v>
      </c>
      <c r="E195">
        <v>0.0019203953613187274</v>
      </c>
    </row>
    <row r="196" spans="1:5" ht="12.75">
      <c r="A196">
        <v>76000</v>
      </c>
      <c r="B196">
        <f t="shared" si="2"/>
        <v>0.002981587379154134</v>
      </c>
      <c r="C196">
        <v>0.004086274592437985</v>
      </c>
      <c r="D196">
        <v>0.002658475064735221</v>
      </c>
      <c r="E196">
        <v>0.0022000124802891946</v>
      </c>
    </row>
    <row r="197" spans="1:5" ht="12.75">
      <c r="A197">
        <v>76250</v>
      </c>
      <c r="B197">
        <f t="shared" si="2"/>
        <v>0.003361327689962668</v>
      </c>
      <c r="C197">
        <v>0.00461156811104745</v>
      </c>
      <c r="D197">
        <v>0.002995686296772488</v>
      </c>
      <c r="E197">
        <v>0.002476728662068066</v>
      </c>
    </row>
    <row r="198" spans="1:5" ht="12.75">
      <c r="A198">
        <v>76500</v>
      </c>
      <c r="B198">
        <f t="shared" si="2"/>
        <v>0.003738327987562346</v>
      </c>
      <c r="C198">
        <v>0.0051344699966604955</v>
      </c>
      <c r="D198">
        <v>0.0033299700593711844</v>
      </c>
      <c r="E198">
        <v>0.002750543906655359</v>
      </c>
    </row>
    <row r="199" spans="1:5" ht="12.75">
      <c r="A199">
        <v>76750</v>
      </c>
      <c r="B199">
        <f t="shared" si="2"/>
        <v>0.004112588271953149</v>
      </c>
      <c r="C199">
        <v>0.005654980249277065</v>
      </c>
      <c r="D199">
        <v>0.0036613263525313283</v>
      </c>
      <c r="E199">
        <v>0.0030214582140510524</v>
      </c>
    </row>
    <row r="200" spans="1:5" ht="12.75">
      <c r="A200">
        <v>77000</v>
      </c>
      <c r="B200">
        <f t="shared" si="2"/>
        <v>0.004484159061142808</v>
      </c>
      <c r="C200">
        <v>0.006173098868897217</v>
      </c>
      <c r="D200">
        <v>0.003989755176252895</v>
      </c>
      <c r="E200">
        <v>0.003289623138278315</v>
      </c>
    </row>
    <row r="201" spans="1:5" ht="12.75">
      <c r="A201">
        <v>77250</v>
      </c>
      <c r="B201">
        <f t="shared" si="2"/>
        <v>0.0048531517033976535</v>
      </c>
      <c r="C201">
        <v>0.006688825855520917</v>
      </c>
      <c r="D201">
        <v>0.004315256530535892</v>
      </c>
      <c r="E201">
        <v>0.0035553727241361514</v>
      </c>
    </row>
    <row r="202" spans="1:5" ht="12.75">
      <c r="A202">
        <v>77500</v>
      </c>
      <c r="B202">
        <f t="shared" si="2"/>
        <v>0.005219771874675647</v>
      </c>
      <c r="C202">
        <v>0.007202397641242171</v>
      </c>
      <c r="D202">
        <v>0.00463783041538036</v>
      </c>
      <c r="E202">
        <v>0.0038190875674044113</v>
      </c>
    </row>
    <row r="203" spans="1:5" ht="12.75">
      <c r="A203">
        <v>77750</v>
      </c>
      <c r="B203">
        <f aca="true" t="shared" si="3" ref="B203:B248">AVERAGE(C203:E203)</f>
        <v>0.0055841552497108175</v>
      </c>
      <c r="C203">
        <v>0.007714093526261984</v>
      </c>
      <c r="D203">
        <v>0.004957476830786261</v>
      </c>
      <c r="E203">
        <v>0.004080895392084207</v>
      </c>
    </row>
    <row r="204" spans="1:5" ht="12.75">
      <c r="A204">
        <v>78000</v>
      </c>
      <c r="B204">
        <f t="shared" si="3"/>
        <v>0.0059463267823455885</v>
      </c>
      <c r="C204">
        <v>0.008223913985655782</v>
      </c>
      <c r="D204">
        <v>0.005274270163205412</v>
      </c>
      <c r="E204">
        <v>0.004340796198175569</v>
      </c>
    </row>
    <row r="205" spans="1:5" ht="12.75">
      <c r="A205">
        <v>78250</v>
      </c>
      <c r="B205">
        <f t="shared" si="3"/>
        <v>0.006306364263178471</v>
      </c>
      <c r="C205">
        <v>0.008731859019423568</v>
      </c>
      <c r="D205">
        <v>0.005588443784433379</v>
      </c>
      <c r="E205">
        <v>0.0045987899856784675</v>
      </c>
    </row>
    <row r="206" spans="1:5" ht="12.75">
      <c r="A206">
        <v>78500</v>
      </c>
      <c r="B206">
        <f t="shared" si="3"/>
        <v>0.006664279181746477</v>
      </c>
      <c r="C206">
        <v>0.009237928627565322</v>
      </c>
      <c r="D206">
        <v>0.005900032163081187</v>
      </c>
      <c r="E206">
        <v>0.004854876754592919</v>
      </c>
    </row>
    <row r="207" spans="1:5" ht="12.75">
      <c r="A207">
        <v>78750</v>
      </c>
      <c r="B207">
        <f t="shared" si="3"/>
        <v>0.007020135366321323</v>
      </c>
      <c r="C207">
        <v>0.009742122810081077</v>
      </c>
      <c r="D207">
        <v>0.006209226783963978</v>
      </c>
      <c r="E207">
        <v>0.005109056504918913</v>
      </c>
    </row>
    <row r="208" spans="1:5" ht="12.75">
      <c r="A208">
        <v>79000</v>
      </c>
      <c r="B208">
        <f t="shared" si="3"/>
        <v>0.007373958220990722</v>
      </c>
      <c r="C208">
        <v>0.0102444415669708</v>
      </c>
      <c r="D208">
        <v>0.006516080221101491</v>
      </c>
      <c r="E208">
        <v>0.005361352874899875</v>
      </c>
    </row>
    <row r="209" spans="1:5" ht="12.75">
      <c r="A209">
        <v>79250</v>
      </c>
      <c r="B209">
        <f t="shared" si="3"/>
        <v>0.007725783788332801</v>
      </c>
      <c r="C209">
        <v>0.0107448848982345</v>
      </c>
      <c r="D209">
        <v>0.0068205924744936695</v>
      </c>
      <c r="E209">
        <v>0.005611873992270232</v>
      </c>
    </row>
    <row r="210" spans="1:5" ht="12.75">
      <c r="A210">
        <v>79500</v>
      </c>
      <c r="B210">
        <f t="shared" si="3"/>
        <v>0.00807561652583982</v>
      </c>
      <c r="C210">
        <v>0.011243452803872206</v>
      </c>
      <c r="D210">
        <v>0.007122763544140581</v>
      </c>
      <c r="E210">
        <v>0.005860633229506674</v>
      </c>
    </row>
    <row r="211" spans="1:5" ht="12.75">
      <c r="A211">
        <v>79750</v>
      </c>
      <c r="B211">
        <f t="shared" si="3"/>
        <v>0.008423456433511745</v>
      </c>
      <c r="C211">
        <v>0.011740145283883882</v>
      </c>
      <c r="D211">
        <v>0.007422593430042183</v>
      </c>
      <c r="E211">
        <v>0.006107630586609166</v>
      </c>
    </row>
    <row r="212" spans="1:5" ht="12.75">
      <c r="A212">
        <v>80000</v>
      </c>
      <c r="B212">
        <f t="shared" si="3"/>
        <v>0.008769347287804269</v>
      </c>
      <c r="C212">
        <v>0.0122350936676366</v>
      </c>
      <c r="D212">
        <v>0.007720082132198487</v>
      </c>
      <c r="E212">
        <v>0.006352866063577722</v>
      </c>
    </row>
    <row r="213" spans="1:5" ht="12.75">
      <c r="A213">
        <v>80250</v>
      </c>
      <c r="B213">
        <f t="shared" si="3"/>
        <v>0.00911337558384025</v>
      </c>
      <c r="C213">
        <v>0.012728557440498906</v>
      </c>
      <c r="D213">
        <v>0.008015229650609483</v>
      </c>
      <c r="E213">
        <v>0.00659633966041236</v>
      </c>
    </row>
    <row r="214" spans="1:5" ht="12.75">
      <c r="A214">
        <v>80500</v>
      </c>
      <c r="B214">
        <f t="shared" si="3"/>
        <v>0.009455590326741538</v>
      </c>
      <c r="C214">
        <v>0.013220683617836366</v>
      </c>
      <c r="D214">
        <v>0.008308035985275198</v>
      </c>
      <c r="E214">
        <v>0.006838051377113051</v>
      </c>
    </row>
    <row r="215" spans="1:5" ht="12.75">
      <c r="A215">
        <v>80750</v>
      </c>
      <c r="B215">
        <f t="shared" si="3"/>
        <v>0.009795991733604797</v>
      </c>
      <c r="C215">
        <v>0.013711472850938976</v>
      </c>
      <c r="D215">
        <v>0.008598501136195593</v>
      </c>
      <c r="E215">
        <v>0.007078001213679821</v>
      </c>
    </row>
    <row r="216" spans="1:5" ht="12.75">
      <c r="A216">
        <v>81000</v>
      </c>
      <c r="B216">
        <f t="shared" si="3"/>
        <v>0.010134591001825113</v>
      </c>
      <c r="C216">
        <v>0.01420092513980675</v>
      </c>
      <c r="D216">
        <v>0.00888665869555594</v>
      </c>
      <c r="E216">
        <v>0.007316189170112651</v>
      </c>
    </row>
    <row r="217" spans="1:5" ht="12.75">
      <c r="A217">
        <v>81250</v>
      </c>
      <c r="B217">
        <f t="shared" si="3"/>
        <v>0.010471499393681532</v>
      </c>
      <c r="C217">
        <v>0.01468904073878407</v>
      </c>
      <c r="D217">
        <v>0.009172842195848987</v>
      </c>
      <c r="E217">
        <v>0.007552615246411536</v>
      </c>
    </row>
    <row r="218" spans="1:5" ht="12.75">
      <c r="A218">
        <v>81500</v>
      </c>
      <c r="B218">
        <f t="shared" si="3"/>
        <v>0.01080677363431364</v>
      </c>
      <c r="C218">
        <v>0.015175893268417406</v>
      </c>
      <c r="D218">
        <v>0.009457143583624284</v>
      </c>
      <c r="E218">
        <v>0.007787284050899228</v>
      </c>
    </row>
    <row r="219" spans="1:5" ht="12.75">
      <c r="A219">
        <v>81750</v>
      </c>
      <c r="B219">
        <f t="shared" si="3"/>
        <v>0.011140519721495655</v>
      </c>
      <c r="C219">
        <v>0.01566154073125155</v>
      </c>
      <c r="D219">
        <v>0.00973956285888178</v>
      </c>
      <c r="E219">
        <v>0.008020455574353628</v>
      </c>
    </row>
    <row r="220" spans="1:5" ht="12.75">
      <c r="A220">
        <v>82000</v>
      </c>
      <c r="B220">
        <f t="shared" si="3"/>
        <v>0.011472787708552971</v>
      </c>
      <c r="C220">
        <v>0.01614598312728647</v>
      </c>
      <c r="D220">
        <v>0.010020100021621502</v>
      </c>
      <c r="E220">
        <v>0.008252279976750947</v>
      </c>
    </row>
    <row r="221" spans="1:5" ht="12.75">
      <c r="A221">
        <v>82250</v>
      </c>
      <c r="B221">
        <f t="shared" si="3"/>
        <v>0.011803577595485592</v>
      </c>
      <c r="C221">
        <v>0.016629220456522154</v>
      </c>
      <c r="D221">
        <v>0.010298755071843446</v>
      </c>
      <c r="E221">
        <v>0.008482757258091172</v>
      </c>
    </row>
    <row r="222" spans="1:5" ht="12.75">
      <c r="A222">
        <v>82500</v>
      </c>
      <c r="B222">
        <f t="shared" si="3"/>
        <v>0.012132889382293517</v>
      </c>
      <c r="C222">
        <v>0.017111252718958636</v>
      </c>
      <c r="D222">
        <v>0.010575528009547598</v>
      </c>
      <c r="E222">
        <v>0.008711887418374316</v>
      </c>
    </row>
    <row r="223" spans="1:5" ht="12.75">
      <c r="A223">
        <v>82750</v>
      </c>
      <c r="B223">
        <f t="shared" si="3"/>
        <v>0.012460723068976743</v>
      </c>
      <c r="C223">
        <v>0.01759207991459591</v>
      </c>
      <c r="D223">
        <v>0.010850418834733975</v>
      </c>
      <c r="E223">
        <v>0.008939670457600343</v>
      </c>
    </row>
    <row r="224" spans="1:5" ht="12.75">
      <c r="A224">
        <v>83000</v>
      </c>
      <c r="B224">
        <f t="shared" si="3"/>
        <v>0.012787078655535281</v>
      </c>
      <c r="C224">
        <v>0.018071702043433953</v>
      </c>
      <c r="D224">
        <v>0.011123427547402587</v>
      </c>
      <c r="E224">
        <v>0.009166106375769307</v>
      </c>
    </row>
    <row r="225" spans="1:5" ht="12.75">
      <c r="A225">
        <v>83250</v>
      </c>
      <c r="B225">
        <f t="shared" si="3"/>
        <v>0.01311195614196912</v>
      </c>
      <c r="C225">
        <v>0.018550119105472787</v>
      </c>
      <c r="D225">
        <v>0.011394554147553401</v>
      </c>
      <c r="E225">
        <v>0.009391195172881173</v>
      </c>
    </row>
    <row r="226" spans="1:5" ht="12.75">
      <c r="A226">
        <v>83500</v>
      </c>
      <c r="B226">
        <f t="shared" si="3"/>
        <v>0.013435355528278264</v>
      </c>
      <c r="C226">
        <v>0.01902733110071242</v>
      </c>
      <c r="D226">
        <v>0.011663798635186436</v>
      </c>
      <c r="E226">
        <v>0.009614936848935942</v>
      </c>
    </row>
    <row r="227" spans="1:5" ht="12.75">
      <c r="A227">
        <v>83750</v>
      </c>
      <c r="B227">
        <f t="shared" si="3"/>
        <v>0.01375727681446271</v>
      </c>
      <c r="C227">
        <v>0.0195033380291528</v>
      </c>
      <c r="D227">
        <v>0.011931161010301698</v>
      </c>
      <c r="E227">
        <v>0.009837331403933627</v>
      </c>
    </row>
    <row r="228" spans="1:5" ht="12.75">
      <c r="A228">
        <v>84000</v>
      </c>
      <c r="B228">
        <f t="shared" si="3"/>
        <v>0.014077720004173531</v>
      </c>
      <c r="C228">
        <v>0.019978139890793993</v>
      </c>
      <c r="D228">
        <v>0.012196641283852385</v>
      </c>
      <c r="E228">
        <v>0.010058378837874216</v>
      </c>
    </row>
    <row r="229" spans="1:5" ht="12.75">
      <c r="A229">
        <v>84250</v>
      </c>
      <c r="B229">
        <f t="shared" si="3"/>
        <v>0.014396741927434974</v>
      </c>
      <c r="C229">
        <v>0.020451736685635956</v>
      </c>
      <c r="D229">
        <v>0.012460409945911237</v>
      </c>
      <c r="E229">
        <v>0.010278079150757728</v>
      </c>
    </row>
    <row r="230" spans="1:5" ht="12.75">
      <c r="A230">
        <v>84500</v>
      </c>
      <c r="B230">
        <f t="shared" si="3"/>
        <v>0.014714397617607821</v>
      </c>
      <c r="C230">
        <v>0.02092412841367871</v>
      </c>
      <c r="D230">
        <v>0.01272263209656061</v>
      </c>
      <c r="E230">
        <v>0.010496432342584142</v>
      </c>
    </row>
    <row r="231" spans="1:5" ht="12.75">
      <c r="A231">
        <v>84750</v>
      </c>
      <c r="B231">
        <f t="shared" si="3"/>
        <v>0.015030687074692057</v>
      </c>
      <c r="C231">
        <v>0.02139531507492224</v>
      </c>
      <c r="D231">
        <v>0.01298330773580047</v>
      </c>
      <c r="E231">
        <v>0.010713438413353461</v>
      </c>
    </row>
    <row r="232" spans="1:5" ht="12.75">
      <c r="A232">
        <v>85000</v>
      </c>
      <c r="B232">
        <f t="shared" si="3"/>
        <v>0.01534561029868771</v>
      </c>
      <c r="C232">
        <v>0.02186529666936657</v>
      </c>
      <c r="D232">
        <v>0.013242436863630866</v>
      </c>
      <c r="E232">
        <v>0.010929097363065701</v>
      </c>
    </row>
    <row r="233" spans="1:5" ht="12.75">
      <c r="A233">
        <v>85250</v>
      </c>
      <c r="B233">
        <f t="shared" si="3"/>
        <v>0.015659167289594763</v>
      </c>
      <c r="C233">
        <v>0.022334073197011674</v>
      </c>
      <c r="D233">
        <v>0.013500019480051756</v>
      </c>
      <c r="E233">
        <v>0.011143409191720854</v>
      </c>
    </row>
    <row r="234" spans="1:5" ht="12.75">
      <c r="A234">
        <v>85500</v>
      </c>
      <c r="B234">
        <f t="shared" si="3"/>
        <v>0.0159713839397255</v>
      </c>
      <c r="C234">
        <v>0.022801722334794477</v>
      </c>
      <c r="D234">
        <v>0.013756055585063133</v>
      </c>
      <c r="E234">
        <v>0.0113563738993189</v>
      </c>
    </row>
    <row r="235" spans="1:5" ht="12.75">
      <c r="A235">
        <v>85750</v>
      </c>
      <c r="B235">
        <f t="shared" si="3"/>
        <v>0.016282339685145104</v>
      </c>
      <c r="C235">
        <v>0.023268388494027972</v>
      </c>
      <c r="D235">
        <v>0.014010639075547478</v>
      </c>
      <c r="E235">
        <v>0.011567991485859864</v>
      </c>
    </row>
    <row r="236" spans="1:5" ht="12.75">
      <c r="A236">
        <v>86000</v>
      </c>
      <c r="B236">
        <f t="shared" si="3"/>
        <v>0.016592136403160807</v>
      </c>
      <c r="C236">
        <v>0.023734074918189556</v>
      </c>
      <c r="D236">
        <v>0.014264072339949127</v>
      </c>
      <c r="E236">
        <v>0.011778261951343738</v>
      </c>
    </row>
    <row r="237" spans="1:5" ht="12.75">
      <c r="A237">
        <v>86250</v>
      </c>
      <c r="B237">
        <f t="shared" si="3"/>
        <v>0.01690088312280323</v>
      </c>
      <c r="C237">
        <v>0.02419878160727923</v>
      </c>
      <c r="D237">
        <v>0.014516682465359934</v>
      </c>
      <c r="E237">
        <v>0.011987185295770527</v>
      </c>
    </row>
    <row r="238" spans="1:5" ht="12.75">
      <c r="A238">
        <v>86500</v>
      </c>
      <c r="B238">
        <f t="shared" si="3"/>
        <v>0.01720858850235203</v>
      </c>
      <c r="C238">
        <v>0.024662508561296967</v>
      </c>
      <c r="D238">
        <v>0.01476849542661889</v>
      </c>
      <c r="E238">
        <v>0.012194761519140219</v>
      </c>
    </row>
    <row r="239" spans="1:5" ht="12.75">
      <c r="A239">
        <v>86750</v>
      </c>
      <c r="B239">
        <f t="shared" si="3"/>
        <v>0.017515252541807202</v>
      </c>
      <c r="C239">
        <v>0.0251252557802428</v>
      </c>
      <c r="D239">
        <v>0.015019511223726</v>
      </c>
      <c r="E239">
        <v>0.012400990621452807</v>
      </c>
    </row>
    <row r="240" spans="1:5" ht="12.75">
      <c r="A240">
        <v>87000</v>
      </c>
      <c r="B240">
        <f t="shared" si="3"/>
        <v>0.017820875241168762</v>
      </c>
      <c r="C240">
        <v>0.025587023264116708</v>
      </c>
      <c r="D240">
        <v>0.015269729856681244</v>
      </c>
      <c r="E240">
        <v>0.012605872602708335</v>
      </c>
    </row>
    <row r="241" spans="1:5" ht="12.75">
      <c r="A241">
        <v>87250</v>
      </c>
      <c r="B241">
        <f t="shared" si="3"/>
        <v>0.018125456600436695</v>
      </c>
      <c r="C241">
        <v>0.026047811012918698</v>
      </c>
      <c r="D241">
        <v>0.015519151325484643</v>
      </c>
      <c r="E241">
        <v>0.012809407462906746</v>
      </c>
    </row>
    <row r="242" spans="1:5" ht="12.75">
      <c r="A242">
        <v>87500</v>
      </c>
      <c r="B242">
        <f t="shared" si="3"/>
        <v>0.018428996619611015</v>
      </c>
      <c r="C242">
        <v>0.026507619026648777</v>
      </c>
      <c r="D242">
        <v>0.015767775630136177</v>
      </c>
      <c r="E242">
        <v>0.013011595202048084</v>
      </c>
    </row>
    <row r="243" spans="1:5" ht="12.75">
      <c r="A243">
        <v>87750</v>
      </c>
      <c r="B243">
        <f t="shared" si="3"/>
        <v>0.01873149529869171</v>
      </c>
      <c r="C243">
        <v>0.02696644730530693</v>
      </c>
      <c r="D243">
        <v>0.016015602770635868</v>
      </c>
      <c r="E243">
        <v>0.013212435820132328</v>
      </c>
    </row>
    <row r="244" spans="1:5" ht="12.75">
      <c r="A244">
        <v>88000</v>
      </c>
      <c r="B244">
        <f t="shared" si="3"/>
        <v>0.019032952640173347</v>
      </c>
      <c r="C244">
        <v>0.027424295848893176</v>
      </c>
      <c r="D244">
        <v>0.01626263275446738</v>
      </c>
      <c r="E244">
        <v>0.013411929317159487</v>
      </c>
    </row>
    <row r="245" spans="1:5" ht="12.75">
      <c r="A245">
        <v>88250</v>
      </c>
      <c r="B245">
        <f t="shared" si="3"/>
        <v>0.019333424140616933</v>
      </c>
      <c r="C245">
        <v>0.027881244209662225</v>
      </c>
      <c r="D245">
        <v>0.016508952519059036</v>
      </c>
      <c r="E245">
        <v>0.013610075693129539</v>
      </c>
    </row>
    <row r="246" spans="1:5" ht="12.75">
      <c r="A246">
        <v>88500</v>
      </c>
      <c r="B246">
        <f t="shared" si="3"/>
        <v>0.019632984808843557</v>
      </c>
      <c r="C246">
        <v>0.028337433651099697</v>
      </c>
      <c r="D246">
        <v>0.016754645827388462</v>
      </c>
      <c r="E246">
        <v>0.013806874948042508</v>
      </c>
    </row>
    <row r="247" spans="1:5" ht="12.75">
      <c r="A247">
        <v>88750</v>
      </c>
      <c r="B247">
        <f t="shared" si="3"/>
        <v>0.019931635555798282</v>
      </c>
      <c r="C247">
        <v>0.028792866906040753</v>
      </c>
      <c r="D247">
        <v>0.016999712679455686</v>
      </c>
      <c r="E247">
        <v>0.014002327081898401</v>
      </c>
    </row>
    <row r="248" spans="1:5" ht="12.75">
      <c r="A248">
        <v>89000</v>
      </c>
      <c r="B248">
        <f t="shared" si="3"/>
        <v>0.020229376381481087</v>
      </c>
      <c r="C248">
        <v>0.029247543974485368</v>
      </c>
      <c r="D248">
        <v>0.017244153075260685</v>
      </c>
      <c r="E248">
        <v>0.014196432094697205</v>
      </c>
    </row>
    <row r="250" spans="1:2" ht="12.75">
      <c r="A250" s="1" t="s">
        <v>56</v>
      </c>
      <c r="B250">
        <f>-100*VLOOKUP(x!H7,A10:B248,2)</f>
        <v>12.208087390176653</v>
      </c>
    </row>
    <row r="252" spans="1:5" ht="12.75">
      <c r="A252" s="128" t="s">
        <v>42</v>
      </c>
      <c r="B252" s="128"/>
      <c r="C252" s="128"/>
      <c r="D252" s="128"/>
      <c r="E252" s="128"/>
    </row>
    <row r="253" spans="1:5" ht="12.75">
      <c r="A253" t="s">
        <v>23</v>
      </c>
      <c r="B253" t="s">
        <v>24</v>
      </c>
      <c r="C253" s="1" t="s">
        <v>30</v>
      </c>
      <c r="D253" t="s">
        <v>25</v>
      </c>
      <c r="E253" t="s">
        <v>26</v>
      </c>
    </row>
    <row r="254" spans="1:8" ht="12.75">
      <c r="A254" t="s">
        <v>27</v>
      </c>
      <c r="B254">
        <f>SUM(G254:H254)</f>
        <v>0.0368370642</v>
      </c>
      <c r="C254">
        <f>D254-D$254</f>
        <v>0</v>
      </c>
      <c r="D254">
        <v>2750</v>
      </c>
      <c r="E254">
        <f>B$254+(B$257*(D254-D$254))</f>
        <v>0.0368370642</v>
      </c>
      <c r="G254">
        <v>0.0139152245</v>
      </c>
      <c r="H254">
        <v>0.0229218397</v>
      </c>
    </row>
    <row r="255" spans="1:8" ht="12.75">
      <c r="A255" t="s">
        <v>28</v>
      </c>
      <c r="B255">
        <f>SUM(G255:H255)</f>
        <v>0.0252589909</v>
      </c>
      <c r="C255">
        <f>D255-D$254</f>
        <v>250</v>
      </c>
      <c r="D255">
        <v>3000</v>
      </c>
      <c r="E255">
        <f>B$254+(B$257*(D255-D$254))</f>
        <v>0.02644988833186813</v>
      </c>
      <c r="G255">
        <v>0.0139152245</v>
      </c>
      <c r="H255">
        <v>0.0113437664</v>
      </c>
    </row>
    <row r="256" spans="1:8" ht="12.75">
      <c r="A256" t="s">
        <v>29</v>
      </c>
      <c r="B256">
        <f>SUM(G256:H256)</f>
        <v>0.0139152245</v>
      </c>
      <c r="C256">
        <f>D256-D$254</f>
        <v>550</v>
      </c>
      <c r="D256">
        <v>3300</v>
      </c>
      <c r="E256">
        <f>$B$254+($B$257*(D256-D$254))</f>
        <v>0.013985277290109892</v>
      </c>
      <c r="G256">
        <v>0.0139152245</v>
      </c>
      <c r="H256">
        <v>0</v>
      </c>
    </row>
    <row r="257" spans="1:6" ht="12.75">
      <c r="A257" s="1" t="s">
        <v>43</v>
      </c>
      <c r="B257">
        <f>SLOPE(B254:B256,C254:C256)</f>
        <v>-4.1548703472527466E-05</v>
      </c>
      <c r="D257" s="4">
        <f>x!B3</f>
        <v>3000</v>
      </c>
      <c r="E257">
        <f>B$254+(B$257*(D257-D$254))</f>
        <v>0.02644988833186813</v>
      </c>
      <c r="F257" s="1" t="s">
        <v>31</v>
      </c>
    </row>
    <row r="258" spans="1:6" ht="12.75">
      <c r="A258" s="1" t="s">
        <v>95</v>
      </c>
      <c r="B258">
        <f>E$257*B$6*B$6</f>
        <v>5.184178113046154</v>
      </c>
      <c r="D258" s="4"/>
      <c r="F258" s="1"/>
    </row>
    <row r="259" spans="1:6" ht="12.75">
      <c r="A259" s="1" t="s">
        <v>96</v>
      </c>
      <c r="B259">
        <v>2</v>
      </c>
      <c r="D259" s="4"/>
      <c r="F259" s="1"/>
    </row>
    <row r="260" spans="1:6" ht="12.75">
      <c r="A260" s="1" t="s">
        <v>97</v>
      </c>
      <c r="B260" s="4">
        <f>MIN(250,x!B3-x!B16)</f>
        <v>0</v>
      </c>
      <c r="C260" s="1" t="s">
        <v>100</v>
      </c>
      <c r="D260" s="4"/>
      <c r="F260" s="1"/>
    </row>
    <row r="261" spans="1:6" ht="12.75">
      <c r="A261" s="1" t="s">
        <v>98</v>
      </c>
      <c r="B261" s="4">
        <f>100-(B259*B260/100)</f>
        <v>100</v>
      </c>
      <c r="D261" s="4"/>
      <c r="F261" s="1"/>
    </row>
    <row r="262" spans="1:6" ht="12.75">
      <c r="A262" s="1" t="s">
        <v>99</v>
      </c>
      <c r="B262">
        <f>B261*(100-B258)/100</f>
        <v>94.81582188695384</v>
      </c>
      <c r="D262" s="4"/>
      <c r="F262" s="1"/>
    </row>
    <row r="263" spans="1:6" ht="12.75">
      <c r="A263" s="128" t="s">
        <v>44</v>
      </c>
      <c r="B263" s="128"/>
      <c r="C263" s="128"/>
      <c r="D263" s="128"/>
      <c r="E263" s="128"/>
      <c r="F263" s="1"/>
    </row>
    <row r="264" spans="1:6" ht="12.75">
      <c r="A264" s="42" t="s">
        <v>50</v>
      </c>
      <c r="B264">
        <f>x!B7</f>
        <v>5</v>
      </c>
      <c r="C264" s="42"/>
      <c r="D264" s="42"/>
      <c r="E264" s="42"/>
      <c r="F264" s="1"/>
    </row>
    <row r="265" spans="1:6" ht="12.75">
      <c r="A265" s="42" t="s">
        <v>45</v>
      </c>
      <c r="C265" s="42"/>
      <c r="D265" s="42"/>
      <c r="E265" s="42"/>
      <c r="F265" s="1"/>
    </row>
    <row r="266" spans="1:6" ht="12.75">
      <c r="A266" s="43" t="s">
        <v>51</v>
      </c>
      <c r="B266">
        <f>x!B8</f>
        <v>180</v>
      </c>
      <c r="D266" s="4"/>
      <c r="F266" s="1"/>
    </row>
    <row r="267" spans="1:6" ht="12.75">
      <c r="A267" s="43" t="s">
        <v>79</v>
      </c>
      <c r="B267">
        <f>IF(x!B9="",23,x!B9)</f>
        <v>23</v>
      </c>
      <c r="D267" s="4"/>
      <c r="F267" s="1"/>
    </row>
    <row r="268" spans="1:6" ht="12.75">
      <c r="A268" s="43" t="s">
        <v>73</v>
      </c>
      <c r="B268">
        <f>B267-15.5</f>
        <v>7.5</v>
      </c>
      <c r="D268" s="4"/>
      <c r="F268" s="1"/>
    </row>
    <row r="269" spans="1:6" ht="12.75">
      <c r="A269" s="43" t="s">
        <v>74</v>
      </c>
      <c r="B269">
        <f>IF(D269="",F269,D269)</f>
        <v>0.54</v>
      </c>
      <c r="C269" s="1" t="s">
        <v>123</v>
      </c>
      <c r="D269">
        <f>IF(x!B11="","",x!B11)</f>
        <v>0.54</v>
      </c>
      <c r="E269" s="86" t="s">
        <v>124</v>
      </c>
      <c r="F269">
        <f>VLOOKUP(B267,DryingCost,2)</f>
        <v>0.54</v>
      </c>
    </row>
    <row r="270" spans="1:6" ht="12.75">
      <c r="A270" s="43" t="s">
        <v>75</v>
      </c>
      <c r="B270">
        <f>B$264-B269</f>
        <v>4.46</v>
      </c>
      <c r="D270" s="4"/>
      <c r="F270" s="1"/>
    </row>
    <row r="271" spans="1:6" ht="12.75">
      <c r="A271" s="1" t="s">
        <v>52</v>
      </c>
      <c r="B271">
        <f>B266*B270</f>
        <v>802.8</v>
      </c>
      <c r="D271" s="4"/>
      <c r="F271" s="1"/>
    </row>
    <row r="272" spans="1:6" ht="12.75">
      <c r="A272" s="42" t="s">
        <v>46</v>
      </c>
      <c r="D272" s="4"/>
      <c r="F272" s="1"/>
    </row>
    <row r="273" spans="1:6" ht="12.75">
      <c r="A273" s="43" t="s">
        <v>51</v>
      </c>
      <c r="B273">
        <f>B$266*0.01*D273</f>
        <v>158.02544269768202</v>
      </c>
      <c r="C273" s="1" t="s">
        <v>87</v>
      </c>
      <c r="D273">
        <f>100-B250</f>
        <v>87.79191260982334</v>
      </c>
      <c r="F273" s="1"/>
    </row>
    <row r="274" spans="1:6" ht="12.75">
      <c r="A274" s="1" t="s">
        <v>52</v>
      </c>
      <c r="B274">
        <f>B273*B$270</f>
        <v>704.7934744316618</v>
      </c>
      <c r="D274" s="4"/>
      <c r="F274" s="1"/>
    </row>
    <row r="275" spans="1:6" ht="12.75">
      <c r="A275" s="1" t="s">
        <v>53</v>
      </c>
      <c r="B275">
        <f>B$271-B274</f>
        <v>98.00652556833813</v>
      </c>
      <c r="D275" s="4"/>
      <c r="F275" s="1"/>
    </row>
    <row r="276" spans="1:6" ht="12.75">
      <c r="A276" s="1" t="s">
        <v>20</v>
      </c>
      <c r="D276" s="4"/>
      <c r="F276" s="1"/>
    </row>
    <row r="277" spans="1:6" ht="12.75">
      <c r="A277" s="1" t="s">
        <v>83</v>
      </c>
      <c r="B277">
        <f>B$266*0.01*D277</f>
        <v>170.66847939651691</v>
      </c>
      <c r="C277" t="s">
        <v>76</v>
      </c>
      <c r="D277">
        <f>B$262</f>
        <v>94.81582188695384</v>
      </c>
      <c r="F277" s="1"/>
    </row>
    <row r="278" spans="1:6" ht="12.75">
      <c r="A278" s="43" t="s">
        <v>54</v>
      </c>
      <c r="B278">
        <f>B$266*0.01*D278</f>
        <v>170.66847939651691</v>
      </c>
      <c r="C278" s="1" t="s">
        <v>84</v>
      </c>
      <c r="D278">
        <f>IF(x!B19="",D277,100*x!B19/x!B8)</f>
        <v>94.81582188695384</v>
      </c>
      <c r="F278" s="1"/>
    </row>
    <row r="279" spans="1:6" ht="12.75">
      <c r="A279" s="1" t="s">
        <v>52</v>
      </c>
      <c r="B279">
        <f>B278*B$270</f>
        <v>761.1814181084654</v>
      </c>
      <c r="C279" s="1"/>
      <c r="F279" s="1"/>
    </row>
    <row r="280" spans="1:6" ht="12.75">
      <c r="A280" s="1" t="s">
        <v>53</v>
      </c>
      <c r="B280">
        <f>B$271-B279</f>
        <v>41.61858189153452</v>
      </c>
      <c r="C280" s="1"/>
      <c r="F280" s="1"/>
    </row>
    <row r="281" spans="1:6" ht="12.75">
      <c r="A281" s="43" t="s">
        <v>85</v>
      </c>
      <c r="B281">
        <f>B266-B278</f>
        <v>9.331520603483085</v>
      </c>
      <c r="C281" s="1"/>
      <c r="F281" s="1"/>
    </row>
    <row r="282" spans="1:6" ht="12.75">
      <c r="A282" s="43"/>
      <c r="B282">
        <f>B281*B$270</f>
        <v>41.61858189153456</v>
      </c>
      <c r="C282" s="1"/>
      <c r="F282" s="1"/>
    </row>
    <row r="283" spans="1:7" ht="12.75">
      <c r="A283" s="1" t="s">
        <v>78</v>
      </c>
      <c r="B283">
        <f>IF(x!B21="",B267+D283,x!B21)</f>
        <v>28</v>
      </c>
      <c r="C283" t="s">
        <v>77</v>
      </c>
      <c r="D283">
        <f>7-(E283*0.02)</f>
        <v>7</v>
      </c>
      <c r="E283" s="4">
        <f>MAX(0,F283-G283)</f>
        <v>0</v>
      </c>
      <c r="F283" s="4">
        <f>x!B3</f>
        <v>3000</v>
      </c>
      <c r="G283" s="4">
        <f>x!B16</f>
        <v>3000</v>
      </c>
    </row>
    <row r="284" spans="1:5" ht="12.75">
      <c r="A284" s="43" t="s">
        <v>73</v>
      </c>
      <c r="B284">
        <f>B283-15.5</f>
        <v>12.5</v>
      </c>
      <c r="C284" s="4"/>
      <c r="D284" s="4"/>
      <c r="E284" s="4"/>
    </row>
    <row r="285" spans="1:6" ht="12.75">
      <c r="A285" s="43" t="s">
        <v>74</v>
      </c>
      <c r="B285">
        <f>IF(D285="",F285,D285)</f>
        <v>0.7</v>
      </c>
      <c r="C285" s="1" t="s">
        <v>123</v>
      </c>
      <c r="D285">
        <f>IF(x!B23="","",x!B23)</f>
        <v>0.7</v>
      </c>
      <c r="E285" s="86" t="s">
        <v>124</v>
      </c>
      <c r="F285">
        <f>VLOOKUP(B283,DryingCost,2)</f>
        <v>0.7</v>
      </c>
    </row>
    <row r="286" spans="1:6" ht="12.75">
      <c r="A286" s="43" t="s">
        <v>75</v>
      </c>
      <c r="B286">
        <f>B$264-B285</f>
        <v>4.3</v>
      </c>
      <c r="D286" s="4"/>
      <c r="F286" s="1"/>
    </row>
    <row r="287" spans="1:6" ht="12.75">
      <c r="A287" s="1" t="s">
        <v>52</v>
      </c>
      <c r="B287">
        <f>B278*B286</f>
        <v>733.8744614050227</v>
      </c>
      <c r="D287" s="4"/>
      <c r="F287" s="1"/>
    </row>
    <row r="288" spans="1:6" ht="12.75">
      <c r="A288" s="38" t="s">
        <v>8</v>
      </c>
      <c r="B288">
        <f>x!B25</f>
        <v>0</v>
      </c>
      <c r="D288" s="4"/>
      <c r="F288" s="1"/>
    </row>
    <row r="289" spans="1:6" ht="12.75">
      <c r="A289" s="38" t="s">
        <v>67</v>
      </c>
      <c r="B289">
        <f>x!B26</f>
        <v>10</v>
      </c>
      <c r="D289" s="4"/>
      <c r="F289" s="1"/>
    </row>
    <row r="290" spans="1:6" ht="12.75">
      <c r="A290" s="38" t="s">
        <v>69</v>
      </c>
      <c r="B290">
        <f>IF(B289=0,0,IF(x!B27="",D290,x!B27))</f>
        <v>10</v>
      </c>
      <c r="C290" t="s">
        <v>71</v>
      </c>
      <c r="D290">
        <v>5</v>
      </c>
      <c r="F290" s="1"/>
    </row>
    <row r="291" spans="1:6" ht="12.75">
      <c r="A291" s="38" t="s">
        <v>68</v>
      </c>
      <c r="B291">
        <f>x!B28</f>
        <v>0</v>
      </c>
      <c r="D291" s="4"/>
      <c r="F291" s="1"/>
    </row>
    <row r="292" spans="1:6" ht="12.75">
      <c r="A292" s="38" t="s">
        <v>10</v>
      </c>
      <c r="B292">
        <f>x!B29*x!B17/80000</f>
        <v>47.65625</v>
      </c>
      <c r="D292" s="4"/>
      <c r="F292" s="1"/>
    </row>
    <row r="293" spans="1:6" ht="12.75">
      <c r="A293" s="38" t="s">
        <v>70</v>
      </c>
      <c r="B293">
        <f>IF(x!B30="",D293,x!B30)</f>
        <v>15</v>
      </c>
      <c r="C293" t="s">
        <v>72</v>
      </c>
      <c r="D293">
        <v>10</v>
      </c>
      <c r="F293" s="1"/>
    </row>
    <row r="294" spans="1:6" ht="12.75">
      <c r="A294" s="40" t="s">
        <v>55</v>
      </c>
      <c r="B294">
        <f>B287+B288-SUM(B289:B293)</f>
        <v>651.2182114050227</v>
      </c>
      <c r="D294" s="4"/>
      <c r="F294" s="1"/>
    </row>
    <row r="295" spans="1:6" ht="12.75">
      <c r="A295" s="1" t="s">
        <v>53</v>
      </c>
      <c r="B295">
        <f>B$271-B294</f>
        <v>151.5817885949773</v>
      </c>
      <c r="D295" s="4"/>
      <c r="F295" s="1"/>
    </row>
    <row r="296" spans="1:6" ht="12.75">
      <c r="A296" s="40" t="s">
        <v>47</v>
      </c>
      <c r="B296">
        <f>(B294/B271)-1</f>
        <v>-0.18881637841925425</v>
      </c>
      <c r="C296" s="1" t="s">
        <v>49</v>
      </c>
      <c r="D296">
        <f>100*B296</f>
        <v>-18.881637841925425</v>
      </c>
      <c r="E296" s="1" t="s">
        <v>93</v>
      </c>
      <c r="F296" s="1">
        <f>844/945</f>
        <v>0.8931216931216931</v>
      </c>
    </row>
    <row r="297" spans="1:6" ht="12.75">
      <c r="A297" s="40" t="s">
        <v>48</v>
      </c>
      <c r="B297">
        <f>IF(C297="L29500","Less 29500",IF(C297="g74100",74100,ROUND(INDEX(A10:A248,MATCH(B296,B10:B248)),0)))</f>
        <v>31500</v>
      </c>
      <c r="C297" t="str">
        <f>IF(B296&lt;B10,"L29500",IF(B296&gt;0,"G74100","29500-74100"))</f>
        <v>29500-74100</v>
      </c>
      <c r="D297" s="4"/>
      <c r="F297" s="1"/>
    </row>
    <row r="298" spans="1:6" ht="12.75">
      <c r="A298" s="43"/>
      <c r="D298" s="4"/>
      <c r="F298" s="1"/>
    </row>
    <row r="299" spans="1:6" ht="12.75">
      <c r="A299" s="128" t="s">
        <v>57</v>
      </c>
      <c r="B299" s="128"/>
      <c r="C299" s="128"/>
      <c r="D299" s="128"/>
      <c r="E299" s="128"/>
      <c r="F299" s="1"/>
    </row>
    <row r="300" spans="1:2" ht="12.75">
      <c r="A300" s="1" t="s">
        <v>58</v>
      </c>
      <c r="B300" s="4">
        <f>B294-B274</f>
        <v>-53.57526302663916</v>
      </c>
    </row>
    <row r="301" spans="1:2" ht="12.75">
      <c r="A301" s="1" t="s">
        <v>35</v>
      </c>
      <c r="B301" s="4" t="str">
        <f>IF(x!F14&gt;40,B307,VLOOKUP(B300,Comments,2))</f>
        <v>Do not replant</v>
      </c>
    </row>
    <row r="303" spans="1:2" ht="12.75">
      <c r="A303" s="1" t="s">
        <v>60</v>
      </c>
      <c r="B303" s="1" t="s">
        <v>59</v>
      </c>
    </row>
    <row r="304" spans="1:2" ht="12.75">
      <c r="A304">
        <v>-100000</v>
      </c>
      <c r="B304" s="1" t="s">
        <v>33</v>
      </c>
    </row>
    <row r="305" spans="1:2" ht="12.75">
      <c r="A305">
        <v>-20</v>
      </c>
      <c r="B305" s="1" t="s">
        <v>94</v>
      </c>
    </row>
    <row r="306" spans="1:2" ht="12.75">
      <c r="A306">
        <v>40</v>
      </c>
      <c r="B306" s="1" t="s">
        <v>38</v>
      </c>
    </row>
    <row r="307" spans="1:2" ht="12.75">
      <c r="A307" s="1"/>
      <c r="B307" s="1" t="s">
        <v>34</v>
      </c>
    </row>
  </sheetData>
  <sheetProtection/>
  <mergeCells count="5">
    <mergeCell ref="A299:E299"/>
    <mergeCell ref="A8:E8"/>
    <mergeCell ref="A1:E1"/>
    <mergeCell ref="A252:E252"/>
    <mergeCell ref="A263:E263"/>
  </mergeCells>
  <dataValidations count="20">
    <dataValidation type="list" allowBlank="1" showInputMessage="1" showErrorMessage="1" sqref="U4:V4">
      <formula1>IncorpGroupList</formula1>
    </dataValidation>
    <dataValidation type="list" allowBlank="1" showInputMessage="1" showErrorMessage="1" sqref="H4">
      <formula1>GeneralizedManureList</formula1>
    </dataValidation>
    <dataValidation type="list" allowBlank="1" showInputMessage="1" showErrorMessage="1" sqref="F4">
      <formula1>GenaricManureList</formula1>
    </dataValidation>
    <dataValidation type="list" allowBlank="1" showInputMessage="1" showErrorMessage="1" sqref="AM4:AM5 AP4:AP5 AS4:AS5">
      <formula1>IntervalUnitList</formula1>
    </dataValidation>
    <dataValidation type="decimal" allowBlank="1" showInputMessage="1" showErrorMessage="1" sqref="Y4 AR4 AO4">
      <formula1>0</formula1>
      <formula2>100</formula2>
    </dataValidation>
    <dataValidation type="list" allowBlank="1" showInputMessage="1" showErrorMessage="1" sqref="AJ4">
      <formula1>PatternList</formula1>
    </dataValidation>
    <dataValidation type="list" allowBlank="1" showInputMessage="1" showErrorMessage="1" sqref="AI4">
      <formula1>KList</formula1>
    </dataValidation>
    <dataValidation type="list" allowBlank="1" showInputMessage="1" showErrorMessage="1" sqref="AG4">
      <formula1>PList</formula1>
    </dataValidation>
    <dataValidation type="list" allowBlank="1" showInputMessage="1" showErrorMessage="1" sqref="AE4">
      <formula1>TotalNList</formula1>
    </dataValidation>
    <dataValidation type="list" allowBlank="1" showInputMessage="1" showErrorMessage="1" sqref="AC4:AC5">
      <formula1>OrganicNList</formula1>
    </dataValidation>
    <dataValidation type="list" allowBlank="1" showInputMessage="1" showErrorMessage="1" sqref="AA4">
      <formula1>NH4List</formula1>
    </dataValidation>
    <dataValidation type="decimal" allowBlank="1" showInputMessage="1" showErrorMessage="1" sqref="I4 AH4 AF4 AD4 AB4 Z4">
      <formula1>0</formula1>
      <formula2>1000000</formula2>
    </dataValidation>
    <dataValidation type="list" allowBlank="1" showInputMessage="1" showErrorMessage="1" sqref="X4">
      <formula1>CropApList</formula1>
    </dataValidation>
    <dataValidation type="list" allowBlank="1" showInputMessage="1" showErrorMessage="1" sqref="W4">
      <formula1>ResidueList</formula1>
    </dataValidation>
    <dataValidation type="list" allowBlank="1" showInputMessage="1" showErrorMessage="1" sqref="T4">
      <formula1>MonthTimeList</formula1>
    </dataValidation>
    <dataValidation type="whole" allowBlank="1" showInputMessage="1" showErrorMessage="1" sqref="S5 R4:S4">
      <formula1>1</formula1>
      <formula2>31</formula2>
    </dataValidation>
    <dataValidation type="list" allowBlank="1" showInputMessage="1" showErrorMessage="1" sqref="Q4">
      <formula1>Month</formula1>
    </dataValidation>
    <dataValidation type="whole" allowBlank="1" showInputMessage="1" showErrorMessage="1" sqref="P4">
      <formula1>1950</formula1>
      <formula2>2050</formula2>
    </dataValidation>
    <dataValidation type="list" allowBlank="1" showInputMessage="1" showErrorMessage="1" sqref="M4:M5 J4">
      <formula1>ApUnitList</formula1>
    </dataValidation>
    <dataValidation type="list" allowBlank="1" showInputMessage="1" showErrorMessage="1" sqref="N4:N5">
      <formula1>RateNutrientList</formula1>
    </dataValidation>
  </dataValidations>
  <printOptions/>
  <pageMargins left="0.11811023622047245" right="0.11811023622047245" top="0.11811023622047245" bottom="0.11811023622047245" header="0.5118110236220472" footer="0.5118110236220472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2">
      <selection activeCell="B2" sqref="B2:B27"/>
    </sheetView>
  </sheetViews>
  <sheetFormatPr defaultColWidth="9.33203125" defaultRowHeight="12.75"/>
  <sheetData>
    <row r="1" spans="1:2" ht="12.75">
      <c r="A1" s="1" t="s">
        <v>121</v>
      </c>
      <c r="B1" s="1" t="s">
        <v>122</v>
      </c>
    </row>
    <row r="2" spans="1:2" ht="12.75">
      <c r="A2">
        <v>0</v>
      </c>
      <c r="B2">
        <v>0</v>
      </c>
    </row>
    <row r="3" spans="1:2" ht="12.75">
      <c r="A3">
        <v>16</v>
      </c>
      <c r="B3">
        <v>0.22</v>
      </c>
    </row>
    <row r="4" spans="1:2" ht="12.75">
      <c r="A4">
        <f>A3+1</f>
        <v>17</v>
      </c>
      <c r="B4">
        <v>0.31</v>
      </c>
    </row>
    <row r="5" spans="1:2" ht="12.75">
      <c r="A5">
        <f>A4+1</f>
        <v>18</v>
      </c>
      <c r="B5">
        <v>0.37</v>
      </c>
    </row>
    <row r="6" spans="1:2" ht="12.75">
      <c r="A6">
        <f aca="true" t="shared" si="0" ref="A6:A27">A5+1</f>
        <v>19</v>
      </c>
      <c r="B6">
        <v>0.4</v>
      </c>
    </row>
    <row r="7" spans="1:2" ht="12.75">
      <c r="A7">
        <f t="shared" si="0"/>
        <v>20</v>
      </c>
      <c r="B7">
        <v>0.43</v>
      </c>
    </row>
    <row r="8" spans="1:2" ht="12.75">
      <c r="A8">
        <f t="shared" si="0"/>
        <v>21</v>
      </c>
      <c r="B8">
        <v>0.46</v>
      </c>
    </row>
    <row r="9" spans="1:2" ht="12.75">
      <c r="A9">
        <f t="shared" si="0"/>
        <v>22</v>
      </c>
      <c r="B9">
        <v>0.48</v>
      </c>
    </row>
    <row r="10" spans="1:2" ht="12.75">
      <c r="A10">
        <f t="shared" si="0"/>
        <v>23</v>
      </c>
      <c r="B10">
        <v>0.54</v>
      </c>
    </row>
    <row r="11" spans="1:2" ht="12.75">
      <c r="A11">
        <f t="shared" si="0"/>
        <v>24</v>
      </c>
      <c r="B11">
        <v>0.56</v>
      </c>
    </row>
    <row r="12" spans="1:2" ht="12.75">
      <c r="A12">
        <f t="shared" si="0"/>
        <v>25</v>
      </c>
      <c r="B12">
        <v>0.59</v>
      </c>
    </row>
    <row r="13" spans="1:2" ht="12.75">
      <c r="A13">
        <f t="shared" si="0"/>
        <v>26</v>
      </c>
      <c r="B13">
        <v>0.61</v>
      </c>
    </row>
    <row r="14" spans="1:2" ht="12.75">
      <c r="A14">
        <f t="shared" si="0"/>
        <v>27</v>
      </c>
      <c r="B14">
        <v>0.64</v>
      </c>
    </row>
    <row r="15" spans="1:2" ht="12.75">
      <c r="A15">
        <f t="shared" si="0"/>
        <v>28</v>
      </c>
      <c r="B15">
        <v>0.7</v>
      </c>
    </row>
    <row r="16" spans="1:2" ht="12.75">
      <c r="A16">
        <f t="shared" si="0"/>
        <v>29</v>
      </c>
      <c r="B16">
        <v>0.75</v>
      </c>
    </row>
    <row r="17" spans="1:2" ht="12.75">
      <c r="A17">
        <f t="shared" si="0"/>
        <v>30</v>
      </c>
      <c r="B17">
        <v>0.78</v>
      </c>
    </row>
    <row r="18" spans="1:2" ht="12.75">
      <c r="A18">
        <f t="shared" si="0"/>
        <v>31</v>
      </c>
      <c r="B18">
        <v>0.81</v>
      </c>
    </row>
    <row r="19" spans="1:2" ht="12.75">
      <c r="A19">
        <f t="shared" si="0"/>
        <v>32</v>
      </c>
      <c r="B19">
        <v>0.85</v>
      </c>
    </row>
    <row r="20" spans="1:2" ht="12.75">
      <c r="A20">
        <f t="shared" si="0"/>
        <v>33</v>
      </c>
      <c r="B20">
        <v>0.89</v>
      </c>
    </row>
    <row r="21" spans="1:2" ht="12.75">
      <c r="A21">
        <f t="shared" si="0"/>
        <v>34</v>
      </c>
      <c r="B21">
        <v>0.93</v>
      </c>
    </row>
    <row r="22" spans="1:2" ht="12.75">
      <c r="A22">
        <f t="shared" si="0"/>
        <v>35</v>
      </c>
      <c r="B22">
        <v>0.96</v>
      </c>
    </row>
    <row r="23" spans="1:2" ht="12.75">
      <c r="A23">
        <f t="shared" si="0"/>
        <v>36</v>
      </c>
      <c r="B23">
        <v>1</v>
      </c>
    </row>
    <row r="24" spans="1:2" ht="12.75">
      <c r="A24">
        <f t="shared" si="0"/>
        <v>37</v>
      </c>
      <c r="B24">
        <v>1</v>
      </c>
    </row>
    <row r="25" spans="1:2" ht="12.75">
      <c r="A25">
        <f t="shared" si="0"/>
        <v>38</v>
      </c>
      <c r="B25">
        <v>1</v>
      </c>
    </row>
    <row r="26" spans="1:2" ht="12.75">
      <c r="A26">
        <f t="shared" si="0"/>
        <v>39</v>
      </c>
      <c r="B26">
        <v>1</v>
      </c>
    </row>
    <row r="27" spans="1:2" ht="12.75">
      <c r="A27">
        <f t="shared" si="0"/>
        <v>40</v>
      </c>
      <c r="B27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Cropping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kjanovic</dc:creator>
  <cp:keywords/>
  <dc:description/>
  <cp:lastModifiedBy>cowbroughmi</cp:lastModifiedBy>
  <cp:lastPrinted>2012-05-23T13:08:38Z</cp:lastPrinted>
  <dcterms:created xsi:type="dcterms:W3CDTF">2005-01-11T13:10:01Z</dcterms:created>
  <dcterms:modified xsi:type="dcterms:W3CDTF">2012-05-24T14:03:30Z</dcterms:modified>
  <cp:category/>
  <cp:version/>
  <cp:contentType/>
  <cp:contentStatus/>
</cp:coreProperties>
</file>